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2" activeTab="6"/>
  </bookViews>
  <sheets>
    <sheet name="лето" sheetId="1" r:id="rId1"/>
    <sheet name="осень, зима" sheetId="2" r:id="rId2"/>
    <sheet name="путевки" sheetId="11" r:id="rId3"/>
    <sheet name="твое призвание" sheetId="15" r:id="rId4"/>
    <sheet name="школа мол. актива (дневной)" sheetId="3" r:id="rId5"/>
    <sheet name="мы-патриоты (дневной)" sheetId="13" r:id="rId6"/>
    <sheet name="слет кадетов (дневной)" sheetId="17" r:id="rId7"/>
    <sheet name="Лист4" sheetId="14" r:id="rId8"/>
    <sheet name="Лист1" sheetId="18" r:id="rId9"/>
    <sheet name="Лист2" sheetId="19" r:id="rId10"/>
  </sheets>
  <definedNames>
    <definedName name="_xlnm.Print_Area" localSheetId="2">путевки!$A$1:$S$33</definedName>
  </definedNames>
  <calcPr calcId="145621"/>
</workbook>
</file>

<file path=xl/calcChain.xml><?xml version="1.0" encoding="utf-8"?>
<calcChain xmlns="http://schemas.openxmlformats.org/spreadsheetml/2006/main">
  <c r="H26" i="1"/>
  <c r="E26"/>
  <c r="K26"/>
  <c r="G26"/>
  <c r="D26"/>
  <c r="J26"/>
  <c r="E12" i="17" l="1"/>
  <c r="F14"/>
  <c r="D14"/>
  <c r="C14"/>
  <c r="G12"/>
  <c r="G14" s="1"/>
  <c r="H12" l="1"/>
  <c r="H14" s="1"/>
  <c r="E14"/>
  <c r="I16" i="1" l="1"/>
  <c r="I15"/>
  <c r="J13" i="11" l="1"/>
  <c r="L13"/>
  <c r="R13" s="1"/>
  <c r="Q13" s="1"/>
  <c r="M13"/>
  <c r="I13"/>
  <c r="H13"/>
  <c r="J12"/>
  <c r="R12"/>
  <c r="Q12" s="1"/>
  <c r="H12"/>
  <c r="M12"/>
  <c r="L12"/>
  <c r="I15"/>
  <c r="I12"/>
  <c r="K13"/>
  <c r="K12"/>
  <c r="N33" l="1"/>
  <c r="N35" s="1"/>
  <c r="N28"/>
  <c r="R24"/>
  <c r="R23"/>
  <c r="R21"/>
  <c r="R20"/>
  <c r="R19"/>
  <c r="R18"/>
  <c r="R17"/>
  <c r="R16"/>
  <c r="R15"/>
  <c r="S15"/>
  <c r="O28"/>
  <c r="P28"/>
  <c r="F28"/>
  <c r="I11" i="1" l="1"/>
  <c r="G11"/>
  <c r="M31" i="11" l="1"/>
  <c r="M30"/>
  <c r="P30" s="1"/>
  <c r="O30" s="1"/>
  <c r="L31"/>
  <c r="H30"/>
  <c r="L30"/>
  <c r="Q30" s="1"/>
  <c r="L29"/>
  <c r="M29"/>
  <c r="S29" s="1"/>
  <c r="M24"/>
  <c r="L24"/>
  <c r="M21"/>
  <c r="L21"/>
  <c r="M19"/>
  <c r="L19"/>
  <c r="M18"/>
  <c r="L18"/>
  <c r="M16"/>
  <c r="L16"/>
  <c r="M15"/>
  <c r="L15"/>
  <c r="H24"/>
  <c r="H15"/>
  <c r="L28" l="1"/>
  <c r="L33"/>
  <c r="M33"/>
  <c r="F33"/>
  <c r="I32"/>
  <c r="M32"/>
  <c r="K32"/>
  <c r="H32"/>
  <c r="P31"/>
  <c r="O31" s="1"/>
  <c r="H31"/>
  <c r="I31"/>
  <c r="Q31"/>
  <c r="R31" s="1"/>
  <c r="R30"/>
  <c r="I30"/>
  <c r="K29"/>
  <c r="P29" s="1"/>
  <c r="P33" s="1"/>
  <c r="Q29"/>
  <c r="R29" s="1"/>
  <c r="H29"/>
  <c r="F35"/>
  <c r="S24"/>
  <c r="K24"/>
  <c r="I24"/>
  <c r="J24" s="1"/>
  <c r="Q24" s="1"/>
  <c r="M23"/>
  <c r="S23" s="1"/>
  <c r="K23"/>
  <c r="I23"/>
  <c r="H23"/>
  <c r="I21"/>
  <c r="H21"/>
  <c r="H33" l="1"/>
  <c r="P35"/>
  <c r="O29"/>
  <c r="O33" s="1"/>
  <c r="O35" s="1"/>
  <c r="K33"/>
  <c r="S32"/>
  <c r="S33" s="1"/>
  <c r="I29"/>
  <c r="J21"/>
  <c r="J32"/>
  <c r="R32" s="1"/>
  <c r="Q32" s="1"/>
  <c r="Q33" s="1"/>
  <c r="J23"/>
  <c r="Q23" s="1"/>
  <c r="R33" l="1"/>
  <c r="J29"/>
  <c r="J33" s="1"/>
  <c r="I33"/>
  <c r="Q21"/>
  <c r="H20"/>
  <c r="M20"/>
  <c r="S20" s="1"/>
  <c r="K20"/>
  <c r="I20"/>
  <c r="K19"/>
  <c r="H19"/>
  <c r="S19"/>
  <c r="I19"/>
  <c r="S18"/>
  <c r="H18"/>
  <c r="K18"/>
  <c r="I18"/>
  <c r="H17"/>
  <c r="M17"/>
  <c r="K17"/>
  <c r="I17"/>
  <c r="K16"/>
  <c r="H16"/>
  <c r="S16"/>
  <c r="I16"/>
  <c r="I28"/>
  <c r="K15"/>
  <c r="J20" l="1"/>
  <c r="Q20" s="1"/>
  <c r="K28"/>
  <c r="K35" s="1"/>
  <c r="H28"/>
  <c r="H35" s="1"/>
  <c r="S17"/>
  <c r="M28"/>
  <c r="M35" s="1"/>
  <c r="J18"/>
  <c r="Q18" s="1"/>
  <c r="J15"/>
  <c r="I35"/>
  <c r="L35"/>
  <c r="J17"/>
  <c r="Q17" s="1"/>
  <c r="J19"/>
  <c r="Q19" s="1"/>
  <c r="J16"/>
  <c r="Q16" s="1"/>
  <c r="I12" i="1"/>
  <c r="I29"/>
  <c r="J29"/>
  <c r="H9"/>
  <c r="G9"/>
  <c r="F9"/>
  <c r="S28" i="11" l="1"/>
  <c r="S35" s="1"/>
  <c r="J28"/>
  <c r="J35" s="1"/>
  <c r="R28"/>
  <c r="D13" i="15"/>
  <c r="G11" i="3"/>
  <c r="E12" i="13"/>
  <c r="D14"/>
  <c r="C14"/>
  <c r="D13" i="3"/>
  <c r="E11"/>
  <c r="G12" i="13"/>
  <c r="E11" i="15"/>
  <c r="Q15" i="11" l="1"/>
  <c r="R35"/>
  <c r="H11" i="1"/>
  <c r="Q28" i="11" l="1"/>
  <c r="Q35" s="1"/>
  <c r="E14" i="13" l="1"/>
  <c r="F14"/>
  <c r="C13" i="3"/>
  <c r="E13" i="15"/>
  <c r="G13"/>
  <c r="H12" i="13" l="1"/>
  <c r="H14" s="1"/>
  <c r="G14"/>
  <c r="H11" i="15"/>
  <c r="H13" s="1"/>
  <c r="G29" i="2"/>
  <c r="F29"/>
  <c r="E29"/>
  <c r="F28"/>
  <c r="E28"/>
  <c r="G28" s="1"/>
  <c r="F27"/>
  <c r="E27"/>
  <c r="F26"/>
  <c r="E26"/>
  <c r="G26" s="1"/>
  <c r="E25"/>
  <c r="E22" s="1"/>
  <c r="F25"/>
  <c r="F24"/>
  <c r="E24"/>
  <c r="F23"/>
  <c r="F22" s="1"/>
  <c r="E23"/>
  <c r="F21"/>
  <c r="E21"/>
  <c r="F20"/>
  <c r="F19" s="1"/>
  <c r="E20"/>
  <c r="E19" s="1"/>
  <c r="G19" s="1"/>
  <c r="F18"/>
  <c r="E18"/>
  <c r="F17"/>
  <c r="F16" s="1"/>
  <c r="E17"/>
  <c r="E16" s="1"/>
  <c r="F15"/>
  <c r="E15"/>
  <c r="G15" s="1"/>
  <c r="F14"/>
  <c r="F13"/>
  <c r="F12" s="1"/>
  <c r="E14"/>
  <c r="E13"/>
  <c r="E12" s="1"/>
  <c r="F11"/>
  <c r="E11"/>
  <c r="D22"/>
  <c r="C22"/>
  <c r="D19"/>
  <c r="C19"/>
  <c r="D16"/>
  <c r="C16"/>
  <c r="D12"/>
  <c r="D30" s="1"/>
  <c r="C12"/>
  <c r="F10" i="1"/>
  <c r="F30" s="1"/>
  <c r="I10"/>
  <c r="G10"/>
  <c r="G30" s="1"/>
  <c r="H10"/>
  <c r="H30" s="1"/>
  <c r="K10"/>
  <c r="K30" s="1"/>
  <c r="J10"/>
  <c r="I13"/>
  <c r="J15"/>
  <c r="J14"/>
  <c r="I14"/>
  <c r="I19"/>
  <c r="I18"/>
  <c r="I22"/>
  <c r="I21"/>
  <c r="J28"/>
  <c r="I24"/>
  <c r="I25"/>
  <c r="I26"/>
  <c r="I27"/>
  <c r="I28"/>
  <c r="I23"/>
  <c r="N22"/>
  <c r="M22"/>
  <c r="L22"/>
  <c r="N21"/>
  <c r="M21"/>
  <c r="L21"/>
  <c r="N19"/>
  <c r="M19"/>
  <c r="L19"/>
  <c r="N18"/>
  <c r="M18"/>
  <c r="L18"/>
  <c r="N16"/>
  <c r="M16"/>
  <c r="L16"/>
  <c r="N15"/>
  <c r="M15"/>
  <c r="L15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13"/>
  <c r="M13"/>
  <c r="L13"/>
  <c r="L12"/>
  <c r="M12"/>
  <c r="N12"/>
  <c r="M11"/>
  <c r="N11"/>
  <c r="L11"/>
  <c r="L10" s="1"/>
  <c r="N9"/>
  <c r="M9"/>
  <c r="L9"/>
  <c r="C20"/>
  <c r="C17"/>
  <c r="D14"/>
  <c r="C14"/>
  <c r="D10"/>
  <c r="D30" s="1"/>
  <c r="E10"/>
  <c r="E30" s="1"/>
  <c r="C10"/>
  <c r="C30" s="1"/>
  <c r="I20" l="1"/>
  <c r="C30" i="2"/>
  <c r="F30"/>
  <c r="E30"/>
  <c r="M10" i="1"/>
  <c r="N10"/>
  <c r="J30"/>
  <c r="O13"/>
  <c r="O23"/>
  <c r="O29"/>
  <c r="M17"/>
  <c r="O25"/>
  <c r="I17"/>
  <c r="I30" s="1"/>
  <c r="O28"/>
  <c r="O24"/>
  <c r="O9"/>
  <c r="G27" i="2"/>
  <c r="G12"/>
  <c r="G11"/>
  <c r="O26" i="1"/>
  <c r="O27"/>
  <c r="L14"/>
  <c r="N17"/>
  <c r="L20"/>
  <c r="M14"/>
  <c r="M20"/>
  <c r="N14"/>
  <c r="L17"/>
  <c r="N20"/>
  <c r="G16" i="2"/>
  <c r="G22"/>
  <c r="L30" i="1" l="1"/>
  <c r="O20"/>
  <c r="O17"/>
  <c r="N30"/>
  <c r="M30"/>
  <c r="O10"/>
  <c r="O14"/>
  <c r="O30" l="1"/>
  <c r="E13" i="3"/>
  <c r="G13"/>
  <c r="H11" l="1"/>
  <c r="H13" s="1"/>
  <c r="G30" i="2" l="1"/>
</calcChain>
</file>

<file path=xl/sharedStrings.xml><?xml version="1.0" encoding="utf-8"?>
<sst xmlns="http://schemas.openxmlformats.org/spreadsheetml/2006/main" count="337" uniqueCount="172">
  <si>
    <t>Наименование образовательной организации</t>
  </si>
  <si>
    <t>Численность детей в смену</t>
  </si>
  <si>
    <t>1 смена (июнь)</t>
  </si>
  <si>
    <t>2 смена (июль)</t>
  </si>
  <si>
    <t>3 смена (август)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</si>
  <si>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</si>
  <si>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</si>
  <si>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</si>
  <si>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</si>
  <si>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</si>
  <si>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МБОУ "СОШ №2" г. Емва</t>
  </si>
  <si>
    <t>- учебный корпус в г. Емва</t>
  </si>
  <si>
    <t>- учебный корпус в пст. Тракт</t>
  </si>
  <si>
    <t>МАОУ "НШДС" г. Емвы</t>
  </si>
  <si>
    <t>МБОУ "СОШ" пгт. Синдор</t>
  </si>
  <si>
    <t>- учебный корпус в пгт. Синдор</t>
  </si>
  <si>
    <t>- учебный корпус в пст. Иоссер</t>
  </si>
  <si>
    <t>МАОУ "СОШ" с. Серёгово</t>
  </si>
  <si>
    <t>- учебный корпус в с. Серёгово</t>
  </si>
  <si>
    <t>- учебный корпус в пст. Ляли</t>
  </si>
  <si>
    <t>МБОУ "СОШ" с. Шошка</t>
  </si>
  <si>
    <t>МБОУ "СОШ" с. Туръя</t>
  </si>
  <si>
    <t>МБОУ "СОШ" пст. Чиньяворык</t>
  </si>
  <si>
    <t>МБОУ "СОШ" пст. Чернореченский</t>
  </si>
  <si>
    <t>План организации оздоровительных лагерей с дневным пребыванием детей при образовательных организациях района в период летних каникул</t>
  </si>
  <si>
    <t xml:space="preserve">МБОУ "СОШ №1" г. Емвы </t>
  </si>
  <si>
    <t>осенние каникулы</t>
  </si>
  <si>
    <t>зимние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</si>
  <si>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</si>
  <si>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</si>
  <si>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</si>
  <si>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План организации оздоровительных лагерей с дневным пребыванием детей при образовательных организациях района в период осенних и зимних каникул</t>
  </si>
  <si>
    <t>Приложение №3</t>
  </si>
  <si>
    <t>Примечание 1:</t>
  </si>
  <si>
    <t>Примечание 2:</t>
  </si>
  <si>
    <t>Приложение №8</t>
  </si>
  <si>
    <t>1 смена (июль)</t>
  </si>
  <si>
    <t>Численность сопровождающих</t>
  </si>
  <si>
    <t>Приложение №7</t>
  </si>
  <si>
    <t>2. Дети, чьи семьи относятся к категории малоимущих, освобождаются от уплаты родительского взноса.</t>
  </si>
  <si>
    <r>
      <t xml:space="preserve">3. Родители могут вносить добровольные пожертвования </t>
    </r>
    <r>
      <rPr>
        <b/>
        <sz val="10"/>
        <color theme="1"/>
        <rFont val="Times New Roman"/>
        <family val="1"/>
        <charset val="204"/>
      </rPr>
      <t>на укрепление МТБ оздоровительного лагеря с дневным пребыванием детей.</t>
    </r>
  </si>
  <si>
    <t>4.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</si>
  <si>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1 смена (июнь),            91 р/д * 14 раб. дней</t>
  </si>
  <si>
    <t>осенние каникулы,            91 р/д * 5 раб. дней</t>
  </si>
  <si>
    <t>зимние каникулы,         91 р/д * 5 раб. дней</t>
  </si>
  <si>
    <t>2 смена (июль),         91 р/д * 15 раб. дней</t>
  </si>
  <si>
    <t>План мероприятий по оздоровлению детей школьного возраста в детских оздоровительных лагерях и санаториях в Республике Коми и за ее пределами</t>
  </si>
  <si>
    <t>№</t>
  </si>
  <si>
    <t>Место отдыха</t>
  </si>
  <si>
    <t>Категория детей</t>
  </si>
  <si>
    <t>кол-во дней</t>
  </si>
  <si>
    <t>Кол-во путёвок</t>
  </si>
  <si>
    <t>Цена путёвки без проезда (руб.)</t>
  </si>
  <si>
    <t>Стоимость проезда (руб.)</t>
  </si>
  <si>
    <t>софинансирование МБ детям/сопров.</t>
  </si>
  <si>
    <t>оплата родителями</t>
  </si>
  <si>
    <t>оплата проезда сопровождающим (самостоятельно)</t>
  </si>
  <si>
    <t>для детей</t>
  </si>
  <si>
    <t>для сопровождающих</t>
  </si>
  <si>
    <t>софин РБ</t>
  </si>
  <si>
    <t>Итого стоимость путевки для детей</t>
  </si>
  <si>
    <t>на 1 чел</t>
  </si>
  <si>
    <t>всего</t>
  </si>
  <si>
    <t>на 1 чел.</t>
  </si>
  <si>
    <t xml:space="preserve">Санаторий "Черноморская зорька", г.Анапа </t>
  </si>
  <si>
    <t>Санаторий "Колос", Кировская область,Оричевский район,п.Колос</t>
  </si>
  <si>
    <t>Санаторий "Бобровниково", Великий Устюг</t>
  </si>
  <si>
    <t xml:space="preserve"> Оздоровительный лагерь с круглосуточным пребыванием детей при образовательных организациях района в период осенних каникул</t>
  </si>
  <si>
    <t>Приложение №4</t>
  </si>
  <si>
    <t>- учебный корпус в с. Шошка</t>
  </si>
  <si>
    <t>- учебный корпус в пст. Мещура</t>
  </si>
  <si>
    <t>1. Родительский взнос в виде безвозмездного поступления в размере 300 рублей с одного ребенка в смену.</t>
  </si>
  <si>
    <t>1. Первая смена будет работать с 1 по 21 июня. Торжественное открытие оздоровительных лагерей с дневным пребыванием детей состоится 1 июня 2016 года (среда) в 10.00 ч.</t>
  </si>
  <si>
    <t>2. Закрытие смены 21 июня (вторник) в 14.00 ч. Выходные дни -4,5,11,12,13,18,19 июня 2016 г.</t>
  </si>
  <si>
    <t>3. Вторая смена будет работать 23 июня по 13 июля. Открытие смены состоится 23 июня (четверг) в 10.00 ч.</t>
  </si>
  <si>
    <t>4. Закрытие 2 смены 13 июля 2016 г. (среда) в 14.00 ч. Выходные дни - 25,26 июня, 2,3,9,10,16,17 июля 2016 г.</t>
  </si>
  <si>
    <t>МАУДО "ДДТ" Княжпогостского района</t>
  </si>
  <si>
    <t>Родительский взнос за смену (300 рублей) без учета детей ТЖС</t>
  </si>
  <si>
    <t>- учебный корпус в с. Туръя</t>
  </si>
  <si>
    <t>Приложение №6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</si>
  <si>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</si>
  <si>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</si>
  <si>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1. Профильный лагерь "Твое призвание" с дневным пребыванием детей в период летних каникул при МАУДО "ДДТ" Княжпогостского района работает 7 дней (7 полных дней).</t>
  </si>
  <si>
    <t>2.  Профильный лагерь "Твое призвание" будет работать с 11 по 17 июля. Торжественное открытие лагеря состоится 11 июля 2016 года (понедельник) в 9.00 ч.</t>
  </si>
  <si>
    <t>3. Закрытие смены состоится 17 июля 2016года (воскресенье) в 14.00 ч.</t>
  </si>
  <si>
    <t>2 смена (июль),            91 р/д * 7 дней</t>
  </si>
  <si>
    <t xml:space="preserve">2 смена (июль)     </t>
  </si>
  <si>
    <t>родительский взнос за смену (300 рублей) без учета детей ТЖС</t>
  </si>
  <si>
    <t>Приложение №5</t>
  </si>
  <si>
    <t>Численность сопровождающих в смену</t>
  </si>
  <si>
    <t xml:space="preserve">3. Закрытие смены 10 июля 2016 года (вторник) в 14.00 ч. </t>
  </si>
  <si>
    <t>Организация работы оздоровительного лагеря с дневным пребыванием детей "Школа молодого актива".</t>
  </si>
  <si>
    <t xml:space="preserve">1 смена (июль),         91,0 р/д * 7 дней        </t>
  </si>
  <si>
    <t>2.  Будет работать с 4 по 10 июля. Торжественное открытие "школы молодого актива" с дневным пребыванием детей состоится 4 июля 2016 года (понедельник) в 09.00 ч.</t>
  </si>
  <si>
    <t xml:space="preserve"> 1. Школа молодого актива с дневным пребыванием детей в период летних каникул при образовательных организациях и организациях дополнительного образования работает 7 дней  (7 полных дней).</t>
  </si>
  <si>
    <t xml:space="preserve">3. Закрытие лагеря 5 ноября 2016 года (суббота) в 14.00 ч. </t>
  </si>
  <si>
    <t xml:space="preserve">91,0 р/д * 5 раб. дней        </t>
  </si>
  <si>
    <t>3. Родители могут вносить добровольные пожертвования на укрепление МТБ оздоровительного лагеря с круглосуточным пребыванием детей.</t>
  </si>
  <si>
    <t>Организация работы профильного патриотического лагеря с дневным пребыванием детей "Мы-патриоты!"</t>
  </si>
  <si>
    <t xml:space="preserve"> 1. Профильный патриотический лагерь с дневным пребыванием детей в период осенних каникул при образовательных организациях и организациях дополнительного образования работает 5 дней (5 полных дней).</t>
  </si>
  <si>
    <t>2. Будет работать с 1 по 5 ноября. Торжественное открытие профильного патриотического лагеря с дневным пребыванием детей состоится 1 ноября 2016 года (понедельник) в 10.00 ч.</t>
  </si>
  <si>
    <t>План организации работы профильного летнего лагеря с дневным прибыванием детей "Твое призвание"</t>
  </si>
  <si>
    <t>5. Третья смена будет работать с 1 по 22 августа. Открытие смены состоится 1 августа 2016 г.( понедельник) .</t>
  </si>
  <si>
    <t>6. Закрытие 3 смены 22 августа 2016 г. (вторник) в 14.00ч. Выходные дни - 6,7,13,14,20,21 августа 2016 г.</t>
  </si>
  <si>
    <t>3 смена (август),            91 р/д * 16 раб. дней</t>
  </si>
  <si>
    <t>МАУ "ФСК" г. Емвы (питание 1-ой смены организовано на базе МБОУ "СОШ №2" г. Емвы)</t>
  </si>
  <si>
    <t>МАУ "ФОК" пгт. Синдор (питание организовано на базе МБОУ "СОШ" пгт. Синдор)</t>
  </si>
  <si>
    <t>МАУДО "ДЮСШ" Княжпогостского района (питание 1-ой смены организовано на базе МБОУ "СОШ №2" г. Емвы, питание 2-ой смены организовано на базе МБОУ "СОШ №1" г. Емвы)</t>
  </si>
  <si>
    <t>МАУ ДО "ДЮСШ" Княжпогостского района (питание в период осенних каникул организовано на базе МБОУ "СОШ №2" г. Емвы, в период зимних каникул на базе МБОУ "СОШ №1" г. Емвы)</t>
  </si>
  <si>
    <t>МАУДО "ДДТ" Княжпогостского района (питание в период осенних каникул организовано на базе МБОУ "СОШ №1" г. Емвы, в период зимних каникул на базе МБОУ "СОШ №2" г. Емвы)</t>
  </si>
  <si>
    <t>1</t>
  </si>
  <si>
    <t>другие категории</t>
  </si>
  <si>
    <t>Сроки заезда</t>
  </si>
  <si>
    <t>04.06.2016-24.06.2016</t>
  </si>
  <si>
    <t>21</t>
  </si>
  <si>
    <t>12</t>
  </si>
  <si>
    <t>23.06.2016-13.07.2016</t>
  </si>
  <si>
    <t>24.06.2016-14.07.2016</t>
  </si>
  <si>
    <t>Детский оздоровительный лагерь "Мечта" (смена "Семь футов под килем"), г. Сыктывкар</t>
  </si>
  <si>
    <t>Детский санаторно-оздоровительный лагерь "Мир", г. Таганрог</t>
  </si>
  <si>
    <t>13.07.2016-02.08.2016</t>
  </si>
  <si>
    <t>Детский санаторно-оздоровительный лагерь "Спутник", г. Таганрог</t>
  </si>
  <si>
    <t>14.07.2016-03.08.2016</t>
  </si>
  <si>
    <t>Детский оздоровительно-образовательный центр "Гренада" (республиканская этнокультурная смена "Радлун"), г. Сыктывкар</t>
  </si>
  <si>
    <t>18.07.2016-07.08.2016</t>
  </si>
  <si>
    <t>01.08.2016-21.08.2016</t>
  </si>
  <si>
    <t>09.08.2016-29.08.2016</t>
  </si>
  <si>
    <t>Итого другие категории детей</t>
  </si>
  <si>
    <t>ТЖС</t>
  </si>
  <si>
    <t>12.07.2016-01.08.2016</t>
  </si>
  <si>
    <t>06.08.2016-26.08.2016</t>
  </si>
  <si>
    <t>24.06.2016-14.04.2016</t>
  </si>
  <si>
    <t>ИТОГО категория ТЖС</t>
  </si>
  <si>
    <t>Всего</t>
  </si>
  <si>
    <t>Профильный лагерь "Московские этюды", г. Москва</t>
  </si>
  <si>
    <t>04.05.2016-10.05.2016</t>
  </si>
  <si>
    <t>7</t>
  </si>
  <si>
    <t>24</t>
  </si>
  <si>
    <t>2</t>
  </si>
  <si>
    <t>Профильный лагерь "Город над вольной Невой", г. Санкт-Петербург</t>
  </si>
  <si>
    <t>09.05.2016-15.05.2016</t>
  </si>
  <si>
    <t>13</t>
  </si>
  <si>
    <t>3</t>
  </si>
  <si>
    <t>Детский оздоровительный лагерь "Мечта" (профильная смена для участников финала "Зарница-2016"), г. Сыктывкар</t>
  </si>
  <si>
    <t>16.05.2016-22.05.2016</t>
  </si>
  <si>
    <t>4</t>
  </si>
  <si>
    <t>5</t>
  </si>
  <si>
    <t>11</t>
  </si>
  <si>
    <t>14</t>
  </si>
  <si>
    <t>Туристическая оздоровительная база "Сысола" (палаточный лагерь"), Сысольский район, пос. Первомайский</t>
  </si>
  <si>
    <t>04.08.2016-10.08.2016</t>
  </si>
  <si>
    <t>27.08.2016-13.09.2016</t>
  </si>
  <si>
    <t>Детский оздоровительно-образовательный центр "Гренада" (профильная смена "Безопасное колесо"), г. Сыктывкар</t>
  </si>
  <si>
    <t>03.09.2016-09.09.2016</t>
  </si>
  <si>
    <t>15</t>
  </si>
  <si>
    <t>Детский оздоровительно-образовательный центр "Гренада" (профильная смена республиканского слета участников лагерей труда и отдыха, молодых трудовых бригад), г. Сыктывкар</t>
  </si>
  <si>
    <t>04.09.2016-10.09.2016</t>
  </si>
  <si>
    <t>10</t>
  </si>
  <si>
    <t>Детский оздоровительный лагерь "Мечта" (смена для участников республиканских соревнований "Школа безопасности"), г. Сыктывкар</t>
  </si>
  <si>
    <t>12.09.2016-18.09.2016</t>
  </si>
  <si>
    <t>8</t>
  </si>
  <si>
    <t>Стоимость медицинского сопровождения</t>
  </si>
  <si>
    <t>6</t>
  </si>
  <si>
    <t>9</t>
  </si>
  <si>
    <t>16</t>
  </si>
  <si>
    <t>Организация работы профильного патриотического лагеря с дневным пребыванием детей "Слет кадетов"</t>
  </si>
  <si>
    <t>МБОУ "СОШ №1" г. Емвы</t>
  </si>
  <si>
    <t xml:space="preserve"> 1. Профильный патриотический лагерь с дневным пребыванием детей в период летних каникул при образовательных организациях работает 7 дней (7 полных дней).</t>
  </si>
  <si>
    <t xml:space="preserve">91,0 р/д * 7 дней        </t>
  </si>
  <si>
    <t>2. Будет работать с 1 по 7 августа. Торжественное открытие профильного патриотического лагеря с дневным пребыванием детей состоится 1 августа 2016 года (понедельник) в 10.00 ч.</t>
  </si>
  <si>
    <t>от 31.05.2016 года №192</t>
  </si>
  <si>
    <t>от  31.05.2016 года №192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</si>
</sst>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4" fontId="2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Fill="1"/>
    <xf numFmtId="43" fontId="2" fillId="0" borderId="0" xfId="1" applyFont="1" applyFill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2" fillId="0" borderId="11" xfId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41" fontId="2" fillId="0" borderId="1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/>
    <xf numFmtId="49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left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left"/>
    </xf>
    <xf numFmtId="165" fontId="2" fillId="0" borderId="10" xfId="1" applyNumberFormat="1" applyFont="1" applyFill="1" applyBorder="1" applyAlignment="1">
      <alignment horizontal="center" vertical="center" textRotation="90" wrapText="1"/>
    </xf>
    <xf numFmtId="165" fontId="2" fillId="0" borderId="1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3" fontId="6" fillId="0" borderId="0" xfId="1" applyFont="1" applyFill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43" fontId="2" fillId="0" borderId="0" xfId="1" applyFont="1" applyFill="1" applyAlignment="1">
      <alignment horizontal="right" vertical="center" wrapText="1"/>
    </xf>
    <xf numFmtId="43" fontId="2" fillId="0" borderId="10" xfId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zoomScale="89" zoomScaleNormal="100" zoomScaleSheetLayoutView="89" workbookViewId="0">
      <selection sqref="A1:O42"/>
    </sheetView>
  </sheetViews>
  <sheetFormatPr defaultColWidth="8.85546875" defaultRowHeight="12.75"/>
  <cols>
    <col min="1" max="1" width="5.140625" style="29" customWidth="1"/>
    <col min="2" max="2" width="39.7109375" style="29" customWidth="1"/>
    <col min="3" max="5" width="8.85546875" style="29"/>
    <col min="6" max="11" width="11.42578125" style="29" customWidth="1"/>
    <col min="12" max="12" width="10" style="29" customWidth="1"/>
    <col min="13" max="14" width="8.85546875" style="29"/>
    <col min="15" max="15" width="12" style="29" customWidth="1"/>
    <col min="16" max="16" width="8.85546875" style="29"/>
    <col min="17" max="17" width="11.28515625" style="29" bestFit="1" customWidth="1"/>
    <col min="18" max="16384" width="8.85546875" style="29"/>
  </cols>
  <sheetData>
    <row r="1" spans="1:15">
      <c r="L1" s="97" t="s">
        <v>28</v>
      </c>
      <c r="M1" s="97"/>
      <c r="N1" s="97"/>
      <c r="O1" s="97"/>
    </row>
    <row r="2" spans="1:15">
      <c r="L2" s="97" t="s">
        <v>29</v>
      </c>
      <c r="M2" s="97"/>
      <c r="N2" s="97"/>
      <c r="O2" s="97"/>
    </row>
    <row r="3" spans="1:15">
      <c r="L3" s="97" t="s">
        <v>30</v>
      </c>
      <c r="M3" s="97"/>
      <c r="N3" s="97"/>
      <c r="O3" s="97"/>
    </row>
    <row r="4" spans="1:15">
      <c r="L4" s="97" t="s">
        <v>170</v>
      </c>
      <c r="M4" s="97"/>
      <c r="N4" s="97"/>
      <c r="O4" s="97"/>
    </row>
    <row r="5" spans="1:15">
      <c r="A5" s="99" t="s">
        <v>24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5" s="35" customFormat="1" ht="14.45" customHeight="1">
      <c r="A6" s="103" t="s">
        <v>7</v>
      </c>
      <c r="B6" s="98" t="s">
        <v>0</v>
      </c>
      <c r="C6" s="98" t="s">
        <v>1</v>
      </c>
      <c r="D6" s="98"/>
      <c r="E6" s="98"/>
      <c r="F6" s="98" t="s">
        <v>5</v>
      </c>
      <c r="G6" s="98"/>
      <c r="H6" s="98"/>
      <c r="I6" s="98"/>
      <c r="J6" s="98"/>
      <c r="K6" s="98"/>
      <c r="L6" s="98"/>
      <c r="M6" s="98"/>
      <c r="N6" s="98"/>
      <c r="O6" s="98" t="s">
        <v>6</v>
      </c>
    </row>
    <row r="7" spans="1:15" s="35" customFormat="1" ht="42.6" customHeight="1">
      <c r="A7" s="104"/>
      <c r="B7" s="98"/>
      <c r="C7" s="98"/>
      <c r="D7" s="98"/>
      <c r="E7" s="98"/>
      <c r="F7" s="98" t="s">
        <v>9</v>
      </c>
      <c r="G7" s="98"/>
      <c r="H7" s="98"/>
      <c r="I7" s="106" t="s">
        <v>8</v>
      </c>
      <c r="J7" s="107"/>
      <c r="K7" s="108"/>
      <c r="L7" s="98" t="s">
        <v>77</v>
      </c>
      <c r="M7" s="98"/>
      <c r="N7" s="98"/>
      <c r="O7" s="98"/>
    </row>
    <row r="8" spans="1:15" s="35" customFormat="1" ht="51">
      <c r="A8" s="105"/>
      <c r="B8" s="98"/>
      <c r="C8" s="34" t="s">
        <v>2</v>
      </c>
      <c r="D8" s="34" t="s">
        <v>3</v>
      </c>
      <c r="E8" s="34" t="s">
        <v>4</v>
      </c>
      <c r="F8" s="48" t="s">
        <v>42</v>
      </c>
      <c r="G8" s="48" t="s">
        <v>45</v>
      </c>
      <c r="H8" s="48" t="s">
        <v>104</v>
      </c>
      <c r="I8" s="48" t="s">
        <v>42</v>
      </c>
      <c r="J8" s="48" t="s">
        <v>45</v>
      </c>
      <c r="K8" s="48" t="s">
        <v>104</v>
      </c>
      <c r="L8" s="34" t="s">
        <v>2</v>
      </c>
      <c r="M8" s="34" t="s">
        <v>3</v>
      </c>
      <c r="N8" s="34" t="s">
        <v>4</v>
      </c>
      <c r="O8" s="98"/>
    </row>
    <row r="9" spans="1:15">
      <c r="A9" s="36">
        <v>1</v>
      </c>
      <c r="B9" s="37" t="s">
        <v>25</v>
      </c>
      <c r="C9" s="34">
        <v>73</v>
      </c>
      <c r="D9" s="34">
        <v>60</v>
      </c>
      <c r="E9" s="34">
        <v>70</v>
      </c>
      <c r="F9" s="30">
        <f>C9*91*14</f>
        <v>93002</v>
      </c>
      <c r="G9" s="30">
        <f>D9*91*15</f>
        <v>81900</v>
      </c>
      <c r="H9" s="30">
        <f>E9*91*16</f>
        <v>101920</v>
      </c>
      <c r="I9" s="30"/>
      <c r="J9" s="30"/>
      <c r="K9" s="30"/>
      <c r="L9" s="30">
        <f>C9*300</f>
        <v>21900</v>
      </c>
      <c r="M9" s="30">
        <f>D9*300</f>
        <v>18000</v>
      </c>
      <c r="N9" s="30">
        <f>E9*300</f>
        <v>21000</v>
      </c>
      <c r="O9" s="30">
        <f>F9+G9+H9+I9+J9+K9+L9+M9+N9</f>
        <v>337722</v>
      </c>
    </row>
    <row r="10" spans="1:15">
      <c r="A10" s="36">
        <v>2</v>
      </c>
      <c r="B10" s="38" t="s">
        <v>10</v>
      </c>
      <c r="C10" s="39">
        <f>C11+C12</f>
        <v>70</v>
      </c>
      <c r="D10" s="39">
        <f t="shared" ref="D10:E10" si="0">D11+D12</f>
        <v>50</v>
      </c>
      <c r="E10" s="39">
        <f t="shared" si="0"/>
        <v>50</v>
      </c>
      <c r="F10" s="31">
        <f>F11+F12</f>
        <v>274</v>
      </c>
      <c r="G10" s="31">
        <f t="shared" ref="G10" si="1">G11+G12</f>
        <v>68250</v>
      </c>
      <c r="H10" s="31">
        <f t="shared" ref="H10" si="2">H11+H12</f>
        <v>72800</v>
      </c>
      <c r="I10" s="31">
        <f>I11+I12</f>
        <v>88906</v>
      </c>
      <c r="J10" s="31">
        <f t="shared" ref="J10:K10" si="3">J11+J12</f>
        <v>0</v>
      </c>
      <c r="K10" s="31">
        <f t="shared" si="3"/>
        <v>0</v>
      </c>
      <c r="L10" s="31">
        <f>L11+L12</f>
        <v>21000</v>
      </c>
      <c r="M10" s="31">
        <f t="shared" ref="M10:N10" si="4">M11+M12</f>
        <v>15000</v>
      </c>
      <c r="N10" s="31">
        <f t="shared" si="4"/>
        <v>15000</v>
      </c>
      <c r="O10" s="30">
        <f>F10+G10+H10+I10+J10+K10+L10+M10+N10</f>
        <v>281230</v>
      </c>
    </row>
    <row r="11" spans="1:15" s="43" customFormat="1" ht="12">
      <c r="A11" s="40"/>
      <c r="B11" s="41" t="s">
        <v>11</v>
      </c>
      <c r="C11" s="42">
        <v>50</v>
      </c>
      <c r="D11" s="42">
        <v>50</v>
      </c>
      <c r="E11" s="42">
        <v>50</v>
      </c>
      <c r="F11" s="32">
        <v>274</v>
      </c>
      <c r="G11" s="32">
        <f>D11*91*15</f>
        <v>68250</v>
      </c>
      <c r="H11" s="32">
        <f>E11*91*16</f>
        <v>72800</v>
      </c>
      <c r="I11" s="32">
        <f>C11*91*14-274</f>
        <v>63426</v>
      </c>
      <c r="J11" s="32"/>
      <c r="K11" s="32"/>
      <c r="L11" s="32">
        <f>C11*300</f>
        <v>15000</v>
      </c>
      <c r="M11" s="32">
        <f t="shared" ref="M11:N11" si="5">D11*300</f>
        <v>15000</v>
      </c>
      <c r="N11" s="32">
        <f t="shared" si="5"/>
        <v>15000</v>
      </c>
      <c r="O11" s="32"/>
    </row>
    <row r="12" spans="1:15" s="43" customFormat="1" ht="12">
      <c r="A12" s="40"/>
      <c r="B12" s="41" t="s">
        <v>12</v>
      </c>
      <c r="C12" s="42">
        <v>20</v>
      </c>
      <c r="D12" s="42"/>
      <c r="E12" s="42"/>
      <c r="F12" s="32"/>
      <c r="G12" s="32"/>
      <c r="H12" s="32"/>
      <c r="I12" s="32">
        <f>C12*91*14</f>
        <v>25480</v>
      </c>
      <c r="J12" s="32"/>
      <c r="K12" s="32"/>
      <c r="L12" s="32">
        <f>C12*300</f>
        <v>6000</v>
      </c>
      <c r="M12" s="32">
        <f t="shared" ref="M12" si="6">D12*300</f>
        <v>0</v>
      </c>
      <c r="N12" s="32">
        <f t="shared" ref="N12" si="7">E12*300</f>
        <v>0</v>
      </c>
      <c r="O12" s="32"/>
    </row>
    <row r="13" spans="1:15">
      <c r="A13" s="36">
        <v>3</v>
      </c>
      <c r="B13" s="38" t="s">
        <v>13</v>
      </c>
      <c r="C13" s="39">
        <v>35</v>
      </c>
      <c r="D13" s="39"/>
      <c r="E13" s="39"/>
      <c r="F13" s="31"/>
      <c r="G13" s="31"/>
      <c r="H13" s="31"/>
      <c r="I13" s="30">
        <f t="shared" ref="I13" si="8">C13*91*14</f>
        <v>44590</v>
      </c>
      <c r="J13" s="31"/>
      <c r="K13" s="31"/>
      <c r="L13" s="30">
        <f>C13*300</f>
        <v>10500</v>
      </c>
      <c r="M13" s="30">
        <f>D13*300</f>
        <v>0</v>
      </c>
      <c r="N13" s="30">
        <f>E13*300</f>
        <v>0</v>
      </c>
      <c r="O13" s="30">
        <f>F13+G13+H13+I13+J13+K13+L13+M13+N13</f>
        <v>55090</v>
      </c>
    </row>
    <row r="14" spans="1:15">
      <c r="A14" s="36">
        <v>4</v>
      </c>
      <c r="B14" s="38" t="s">
        <v>14</v>
      </c>
      <c r="C14" s="39">
        <f>C15+C16</f>
        <v>40</v>
      </c>
      <c r="D14" s="39">
        <f t="shared" ref="D14" si="9">D15+D16</f>
        <v>30</v>
      </c>
      <c r="E14" s="39"/>
      <c r="F14" s="31"/>
      <c r="G14" s="31"/>
      <c r="H14" s="31"/>
      <c r="I14" s="30">
        <f>I15+I16</f>
        <v>50960</v>
      </c>
      <c r="J14" s="30">
        <f>J15+J16</f>
        <v>40950</v>
      </c>
      <c r="K14" s="31"/>
      <c r="L14" s="31">
        <f>L15+L16</f>
        <v>12000</v>
      </c>
      <c r="M14" s="31">
        <f t="shared" ref="M14" si="10">M15+M16</f>
        <v>9000</v>
      </c>
      <c r="N14" s="31">
        <f t="shared" ref="N14" si="11">N15+N16</f>
        <v>0</v>
      </c>
      <c r="O14" s="30">
        <f>F14+G14+H14+I14+J14+K14+L14+M14+N14</f>
        <v>112910</v>
      </c>
    </row>
    <row r="15" spans="1:15" s="43" customFormat="1" ht="12">
      <c r="A15" s="40"/>
      <c r="B15" s="41" t="s">
        <v>15</v>
      </c>
      <c r="C15" s="42">
        <v>30</v>
      </c>
      <c r="D15" s="42">
        <v>30</v>
      </c>
      <c r="E15" s="42"/>
      <c r="F15" s="32"/>
      <c r="G15" s="32"/>
      <c r="H15" s="32"/>
      <c r="I15" s="32">
        <f>C15*91*14</f>
        <v>38220</v>
      </c>
      <c r="J15" s="32">
        <f>D15*91*15</f>
        <v>40950</v>
      </c>
      <c r="K15" s="32"/>
      <c r="L15" s="32">
        <f>C15*300</f>
        <v>9000</v>
      </c>
      <c r="M15" s="32">
        <f t="shared" ref="M15:M16" si="12">D15*300</f>
        <v>9000</v>
      </c>
      <c r="N15" s="32">
        <f t="shared" ref="N15:N16" si="13">E15*300</f>
        <v>0</v>
      </c>
      <c r="O15" s="32"/>
    </row>
    <row r="16" spans="1:15" s="43" customFormat="1" ht="12">
      <c r="A16" s="40"/>
      <c r="B16" s="41" t="s">
        <v>16</v>
      </c>
      <c r="C16" s="42">
        <v>10</v>
      </c>
      <c r="D16" s="42"/>
      <c r="E16" s="42"/>
      <c r="F16" s="32"/>
      <c r="G16" s="32"/>
      <c r="H16" s="32"/>
      <c r="I16" s="32">
        <f>C16*91*14</f>
        <v>12740</v>
      </c>
      <c r="J16" s="32"/>
      <c r="K16" s="32"/>
      <c r="L16" s="32">
        <f>C16*300</f>
        <v>3000</v>
      </c>
      <c r="M16" s="32">
        <f t="shared" si="12"/>
        <v>0</v>
      </c>
      <c r="N16" s="32">
        <f t="shared" si="13"/>
        <v>0</v>
      </c>
      <c r="O16" s="32"/>
    </row>
    <row r="17" spans="1:17">
      <c r="A17" s="36">
        <v>5</v>
      </c>
      <c r="B17" s="38" t="s">
        <v>17</v>
      </c>
      <c r="C17" s="39">
        <f>C18+C19</f>
        <v>27</v>
      </c>
      <c r="D17" s="39"/>
      <c r="E17" s="39"/>
      <c r="F17" s="31"/>
      <c r="G17" s="31"/>
      <c r="H17" s="31"/>
      <c r="I17" s="30">
        <f>I18+I19</f>
        <v>34398</v>
      </c>
      <c r="J17" s="31"/>
      <c r="K17" s="31"/>
      <c r="L17" s="31">
        <f>L18+L19</f>
        <v>8100</v>
      </c>
      <c r="M17" s="31">
        <f t="shared" ref="M17" si="14">M18+M19</f>
        <v>0</v>
      </c>
      <c r="N17" s="31">
        <f t="shared" ref="N17" si="15">N18+N19</f>
        <v>0</v>
      </c>
      <c r="O17" s="30">
        <f>F17+G17+H17+I17+J17+K17+L17+M17+N17</f>
        <v>42498</v>
      </c>
    </row>
    <row r="18" spans="1:17" s="43" customFormat="1" ht="12">
      <c r="A18" s="40"/>
      <c r="B18" s="41" t="s">
        <v>18</v>
      </c>
      <c r="C18" s="42">
        <v>20</v>
      </c>
      <c r="D18" s="42"/>
      <c r="E18" s="42"/>
      <c r="F18" s="32"/>
      <c r="G18" s="32"/>
      <c r="H18" s="32"/>
      <c r="I18" s="32">
        <f>C18*91*14</f>
        <v>25480</v>
      </c>
      <c r="J18" s="32"/>
      <c r="K18" s="32"/>
      <c r="L18" s="32">
        <f>C18*300</f>
        <v>6000</v>
      </c>
      <c r="M18" s="32">
        <f t="shared" ref="M18:M19" si="16">D18*300</f>
        <v>0</v>
      </c>
      <c r="N18" s="32">
        <f t="shared" ref="N18:N19" si="17">E18*300</f>
        <v>0</v>
      </c>
      <c r="O18" s="32"/>
    </row>
    <row r="19" spans="1:17" s="43" customFormat="1" ht="12">
      <c r="A19" s="40"/>
      <c r="B19" s="41" t="s">
        <v>19</v>
      </c>
      <c r="C19" s="42">
        <v>7</v>
      </c>
      <c r="D19" s="42"/>
      <c r="E19" s="42"/>
      <c r="F19" s="32"/>
      <c r="G19" s="32"/>
      <c r="H19" s="32"/>
      <c r="I19" s="32">
        <f>C19*91*14</f>
        <v>8918</v>
      </c>
      <c r="J19" s="32"/>
      <c r="K19" s="32"/>
      <c r="L19" s="32">
        <f>C19*300</f>
        <v>2100</v>
      </c>
      <c r="M19" s="32">
        <f t="shared" si="16"/>
        <v>0</v>
      </c>
      <c r="N19" s="32">
        <f t="shared" si="17"/>
        <v>0</v>
      </c>
      <c r="O19" s="32"/>
    </row>
    <row r="20" spans="1:17">
      <c r="A20" s="36">
        <v>6</v>
      </c>
      <c r="B20" s="38" t="s">
        <v>20</v>
      </c>
      <c r="C20" s="39">
        <f>C21+C22</f>
        <v>30</v>
      </c>
      <c r="D20" s="39"/>
      <c r="E20" s="39"/>
      <c r="F20" s="31"/>
      <c r="G20" s="31"/>
      <c r="H20" s="31"/>
      <c r="I20" s="30">
        <f>I21+I22</f>
        <v>38220</v>
      </c>
      <c r="J20" s="31"/>
      <c r="K20" s="31"/>
      <c r="L20" s="31">
        <f>L21+L22</f>
        <v>9000</v>
      </c>
      <c r="M20" s="31">
        <f t="shared" ref="M20" si="18">M21+M22</f>
        <v>0</v>
      </c>
      <c r="N20" s="31">
        <f t="shared" ref="N20" si="19">N21+N22</f>
        <v>0</v>
      </c>
      <c r="O20" s="30">
        <f>F20+G20+H20+I20+J20+K20+L20+M20+N20</f>
        <v>47220</v>
      </c>
      <c r="Q20" s="44"/>
    </row>
    <row r="21" spans="1:17" s="43" customFormat="1" ht="12">
      <c r="A21" s="40"/>
      <c r="B21" s="41" t="s">
        <v>69</v>
      </c>
      <c r="C21" s="42">
        <v>15</v>
      </c>
      <c r="D21" s="42"/>
      <c r="E21" s="42"/>
      <c r="F21" s="32"/>
      <c r="G21" s="32"/>
      <c r="H21" s="32"/>
      <c r="I21" s="32">
        <f>C21*91*14</f>
        <v>19110</v>
      </c>
      <c r="J21" s="32"/>
      <c r="K21" s="32"/>
      <c r="L21" s="32">
        <f>C21*300</f>
        <v>4500</v>
      </c>
      <c r="M21" s="32">
        <f t="shared" ref="M21:M22" si="20">D21*300</f>
        <v>0</v>
      </c>
      <c r="N21" s="32">
        <f t="shared" ref="N21:N22" si="21">E21*300</f>
        <v>0</v>
      </c>
      <c r="O21" s="32"/>
    </row>
    <row r="22" spans="1:17" s="43" customFormat="1" ht="12">
      <c r="A22" s="40"/>
      <c r="B22" s="41" t="s">
        <v>70</v>
      </c>
      <c r="C22" s="42">
        <v>15</v>
      </c>
      <c r="D22" s="42"/>
      <c r="E22" s="42"/>
      <c r="F22" s="32"/>
      <c r="G22" s="32"/>
      <c r="H22" s="32"/>
      <c r="I22" s="32">
        <f>C22*91*14</f>
        <v>19110</v>
      </c>
      <c r="J22" s="32"/>
      <c r="K22" s="32"/>
      <c r="L22" s="32">
        <f>C22*300</f>
        <v>4500</v>
      </c>
      <c r="M22" s="32">
        <f t="shared" si="20"/>
        <v>0</v>
      </c>
      <c r="N22" s="32">
        <f t="shared" si="21"/>
        <v>0</v>
      </c>
      <c r="O22" s="32"/>
    </row>
    <row r="23" spans="1:17">
      <c r="A23" s="36">
        <v>7</v>
      </c>
      <c r="B23" s="38" t="s">
        <v>21</v>
      </c>
      <c r="C23" s="39">
        <v>7</v>
      </c>
      <c r="D23" s="39"/>
      <c r="E23" s="39"/>
      <c r="F23" s="31"/>
      <c r="G23" s="31"/>
      <c r="H23" s="31"/>
      <c r="I23" s="30">
        <f>C23*91*14</f>
        <v>8918</v>
      </c>
      <c r="J23" s="31"/>
      <c r="K23" s="31"/>
      <c r="L23" s="30">
        <f t="shared" ref="L23:L29" si="22">C23*300</f>
        <v>2100</v>
      </c>
      <c r="M23" s="30">
        <f t="shared" ref="M23:M29" si="23">D23*300</f>
        <v>0</v>
      </c>
      <c r="N23" s="30">
        <f t="shared" ref="N23:N29" si="24">E23*300</f>
        <v>0</v>
      </c>
      <c r="O23" s="30">
        <f t="shared" ref="O23:O29" si="25">F23+G23+H23+I23+J23+K23+L23+M23+N23</f>
        <v>11018</v>
      </c>
    </row>
    <row r="24" spans="1:17">
      <c r="A24" s="36">
        <v>8</v>
      </c>
      <c r="B24" s="38" t="s">
        <v>22</v>
      </c>
      <c r="C24" s="39">
        <v>35</v>
      </c>
      <c r="D24" s="39"/>
      <c r="E24" s="39"/>
      <c r="F24" s="31"/>
      <c r="G24" s="31"/>
      <c r="H24" s="31"/>
      <c r="I24" s="30">
        <f t="shared" ref="I24:I28" si="26">C24*91*14</f>
        <v>44590</v>
      </c>
      <c r="J24" s="31"/>
      <c r="K24" s="31"/>
      <c r="L24" s="30">
        <f t="shared" si="22"/>
        <v>10500</v>
      </c>
      <c r="M24" s="30">
        <f t="shared" si="23"/>
        <v>0</v>
      </c>
      <c r="N24" s="30">
        <f t="shared" si="24"/>
        <v>0</v>
      </c>
      <c r="O24" s="30">
        <f t="shared" si="25"/>
        <v>55090</v>
      </c>
    </row>
    <row r="25" spans="1:17">
      <c r="A25" s="36">
        <v>9</v>
      </c>
      <c r="B25" s="38" t="s">
        <v>23</v>
      </c>
      <c r="C25" s="39">
        <v>10</v>
      </c>
      <c r="D25" s="39"/>
      <c r="E25" s="39"/>
      <c r="F25" s="31"/>
      <c r="G25" s="31"/>
      <c r="H25" s="31"/>
      <c r="I25" s="30">
        <f t="shared" si="26"/>
        <v>12740</v>
      </c>
      <c r="J25" s="31"/>
      <c r="K25" s="31"/>
      <c r="L25" s="30">
        <f t="shared" si="22"/>
        <v>3000</v>
      </c>
      <c r="M25" s="30">
        <f t="shared" si="23"/>
        <v>0</v>
      </c>
      <c r="N25" s="30">
        <f t="shared" si="24"/>
        <v>0</v>
      </c>
      <c r="O25" s="30">
        <f t="shared" si="25"/>
        <v>15740</v>
      </c>
    </row>
    <row r="26" spans="1:17">
      <c r="A26" s="36">
        <v>10</v>
      </c>
      <c r="B26" s="38" t="s">
        <v>76</v>
      </c>
      <c r="C26" s="39">
        <v>48</v>
      </c>
      <c r="D26" s="39">
        <f>62+25</f>
        <v>87</v>
      </c>
      <c r="E26" s="39">
        <f>56+6</f>
        <v>62</v>
      </c>
      <c r="F26" s="31"/>
      <c r="G26" s="31">
        <f>25*91*15</f>
        <v>34125</v>
      </c>
      <c r="H26" s="31">
        <f>6*91*16</f>
        <v>8736</v>
      </c>
      <c r="I26" s="30">
        <f t="shared" si="26"/>
        <v>61152</v>
      </c>
      <c r="J26" s="31">
        <f>62*91*15</f>
        <v>84630</v>
      </c>
      <c r="K26" s="31">
        <f>56*91*16</f>
        <v>81536</v>
      </c>
      <c r="L26" s="30">
        <f t="shared" si="22"/>
        <v>14400</v>
      </c>
      <c r="M26" s="30">
        <f t="shared" si="23"/>
        <v>26100</v>
      </c>
      <c r="N26" s="30">
        <f t="shared" si="24"/>
        <v>18600</v>
      </c>
      <c r="O26" s="30">
        <f t="shared" si="25"/>
        <v>329279</v>
      </c>
      <c r="Q26" s="44"/>
    </row>
    <row r="27" spans="1:17" ht="41.25" customHeight="1">
      <c r="A27" s="36">
        <v>11</v>
      </c>
      <c r="B27" s="72" t="s">
        <v>105</v>
      </c>
      <c r="C27" s="36">
        <v>25</v>
      </c>
      <c r="D27" s="36"/>
      <c r="E27" s="36"/>
      <c r="F27" s="71"/>
      <c r="G27" s="71"/>
      <c r="H27" s="71"/>
      <c r="I27" s="30">
        <f t="shared" si="26"/>
        <v>31850</v>
      </c>
      <c r="J27" s="71"/>
      <c r="K27" s="71"/>
      <c r="L27" s="30">
        <f t="shared" si="22"/>
        <v>7500</v>
      </c>
      <c r="M27" s="30">
        <f t="shared" si="23"/>
        <v>0</v>
      </c>
      <c r="N27" s="30">
        <f t="shared" si="24"/>
        <v>0</v>
      </c>
      <c r="O27" s="30">
        <f t="shared" si="25"/>
        <v>39350</v>
      </c>
      <c r="Q27" s="44"/>
    </row>
    <row r="28" spans="1:17" ht="38.25">
      <c r="A28" s="36">
        <v>12</v>
      </c>
      <c r="B28" s="72" t="s">
        <v>106</v>
      </c>
      <c r="C28" s="36">
        <v>10</v>
      </c>
      <c r="D28" s="36">
        <v>10</v>
      </c>
      <c r="E28" s="36"/>
      <c r="F28" s="71"/>
      <c r="G28" s="71"/>
      <c r="H28" s="71"/>
      <c r="I28" s="30">
        <f t="shared" si="26"/>
        <v>12740</v>
      </c>
      <c r="J28" s="71">
        <f t="shared" ref="J28" si="27">D28*91*15</f>
        <v>13650</v>
      </c>
      <c r="K28" s="71"/>
      <c r="L28" s="30">
        <f t="shared" si="22"/>
        <v>3000</v>
      </c>
      <c r="M28" s="30">
        <f t="shared" si="23"/>
        <v>3000</v>
      </c>
      <c r="N28" s="30">
        <f t="shared" si="24"/>
        <v>0</v>
      </c>
      <c r="O28" s="30">
        <f t="shared" si="25"/>
        <v>32390</v>
      </c>
      <c r="Q28" s="44"/>
    </row>
    <row r="29" spans="1:17" ht="61.5" customHeight="1">
      <c r="A29" s="36">
        <v>13</v>
      </c>
      <c r="B29" s="72" t="s">
        <v>107</v>
      </c>
      <c r="C29" s="36">
        <v>30</v>
      </c>
      <c r="D29" s="36">
        <v>30</v>
      </c>
      <c r="E29" s="36"/>
      <c r="F29" s="71"/>
      <c r="G29" s="71"/>
      <c r="H29" s="71"/>
      <c r="I29" s="30">
        <f>C29*91*14</f>
        <v>38220</v>
      </c>
      <c r="J29" s="71">
        <f>D29*91*15</f>
        <v>40950</v>
      </c>
      <c r="K29" s="71"/>
      <c r="L29" s="30">
        <f t="shared" si="22"/>
        <v>9000</v>
      </c>
      <c r="M29" s="30">
        <f t="shared" si="23"/>
        <v>9000</v>
      </c>
      <c r="N29" s="30">
        <f t="shared" si="24"/>
        <v>0</v>
      </c>
      <c r="O29" s="30">
        <f t="shared" si="25"/>
        <v>97170</v>
      </c>
    </row>
    <row r="30" spans="1:17">
      <c r="A30" s="45"/>
      <c r="B30" s="46" t="s">
        <v>6</v>
      </c>
      <c r="C30" s="47">
        <f>C9+C10+C13+C14+C17+C20+C23+C24+C25+C26+C27+C28+C29</f>
        <v>440</v>
      </c>
      <c r="D30" s="47">
        <f t="shared" ref="D30:E30" si="28">D9+D10+D13+D14+D17+D20+D23+D24+D25+D26+D27+D28+D29</f>
        <v>267</v>
      </c>
      <c r="E30" s="47">
        <f t="shared" si="28"/>
        <v>182</v>
      </c>
      <c r="F30" s="33">
        <f>F9+F10+F13+F14+F17+F20+F23+F24+F25+F26+F27+F28+F29</f>
        <v>93276</v>
      </c>
      <c r="G30" s="33">
        <f t="shared" ref="G30:O30" si="29">G9+G10+G13+G14+G17+G20+G23+G24+G25+G26+G27+G28+G29</f>
        <v>184275</v>
      </c>
      <c r="H30" s="33">
        <f t="shared" si="29"/>
        <v>183456</v>
      </c>
      <c r="I30" s="33">
        <f t="shared" si="29"/>
        <v>467284</v>
      </c>
      <c r="J30" s="33">
        <f t="shared" si="29"/>
        <v>180180</v>
      </c>
      <c r="K30" s="33">
        <f t="shared" si="29"/>
        <v>81536</v>
      </c>
      <c r="L30" s="33">
        <f t="shared" si="29"/>
        <v>132000</v>
      </c>
      <c r="M30" s="33">
        <f t="shared" si="29"/>
        <v>80100</v>
      </c>
      <c r="N30" s="33">
        <f t="shared" si="29"/>
        <v>54600</v>
      </c>
      <c r="O30" s="33">
        <f t="shared" si="29"/>
        <v>1456707</v>
      </c>
      <c r="Q30" s="44"/>
    </row>
    <row r="31" spans="1:17" s="23" customFormat="1" ht="14.45" customHeight="1">
      <c r="A31" s="95" t="s">
        <v>33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51"/>
      <c r="N31" s="51"/>
      <c r="O31" s="51"/>
      <c r="Q31" s="54"/>
    </row>
    <row r="32" spans="1:17" s="23" customFormat="1" ht="12.75" customHeight="1">
      <c r="A32" s="101" t="s">
        <v>72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52"/>
      <c r="N32" s="52"/>
      <c r="O32" s="52"/>
      <c r="Q32" s="54"/>
    </row>
    <row r="33" spans="1:17" s="23" customFormat="1" ht="15" customHeight="1">
      <c r="A33" s="100" t="s">
        <v>73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94"/>
      <c r="M33" s="52"/>
      <c r="N33" s="52"/>
      <c r="O33" s="52"/>
      <c r="Q33" s="54"/>
    </row>
    <row r="34" spans="1:17" s="23" customFormat="1" ht="15" customHeight="1">
      <c r="A34" s="100" t="s">
        <v>74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94"/>
      <c r="M34" s="51"/>
      <c r="N34" s="51"/>
      <c r="O34" s="88"/>
      <c r="Q34" s="54"/>
    </row>
    <row r="35" spans="1:17" s="23" customFormat="1" ht="12.75" customHeight="1">
      <c r="A35" s="100" t="s">
        <v>75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94"/>
      <c r="M35" s="52"/>
      <c r="N35" s="52"/>
      <c r="O35" s="52"/>
    </row>
    <row r="36" spans="1:17" s="23" customFormat="1" ht="12.75" customHeight="1">
      <c r="A36" s="101" t="s">
        <v>102</v>
      </c>
      <c r="B36" s="101"/>
      <c r="C36" s="101"/>
      <c r="D36" s="101"/>
      <c r="E36" s="101"/>
      <c r="F36" s="101"/>
      <c r="G36" s="101"/>
      <c r="H36" s="94"/>
      <c r="I36" s="94"/>
      <c r="J36" s="94"/>
      <c r="K36" s="94"/>
      <c r="L36" s="94"/>
      <c r="M36" s="52"/>
      <c r="N36" s="52"/>
      <c r="O36" s="70"/>
      <c r="Q36" s="54"/>
    </row>
    <row r="37" spans="1:17" s="23" customFormat="1">
      <c r="A37" s="101" t="s">
        <v>103</v>
      </c>
      <c r="B37" s="101"/>
      <c r="C37" s="101"/>
      <c r="D37" s="101"/>
      <c r="E37" s="101"/>
      <c r="F37" s="101"/>
      <c r="G37" s="101"/>
      <c r="H37" s="101"/>
      <c r="I37" s="96"/>
      <c r="J37" s="96"/>
      <c r="K37" s="96"/>
      <c r="L37" s="95"/>
      <c r="M37" s="51"/>
      <c r="N37" s="51"/>
      <c r="O37" s="51"/>
    </row>
    <row r="38" spans="1:17" s="23" customFormat="1" ht="12.75" customHeight="1">
      <c r="A38" s="95" t="s">
        <v>34</v>
      </c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5"/>
      <c r="M38" s="51"/>
      <c r="N38" s="51"/>
      <c r="O38" s="51"/>
    </row>
    <row r="39" spans="1:17" s="23" customFormat="1" ht="12.75" customHeight="1">
      <c r="A39" s="102" t="s">
        <v>71</v>
      </c>
      <c r="B39" s="102"/>
      <c r="C39" s="102"/>
      <c r="D39" s="102"/>
      <c r="E39" s="102"/>
      <c r="F39" s="102"/>
      <c r="G39" s="102"/>
      <c r="H39" s="55"/>
      <c r="I39" s="95"/>
      <c r="J39" s="95"/>
      <c r="K39" s="95"/>
      <c r="L39" s="95"/>
      <c r="M39" s="51"/>
      <c r="N39" s="51"/>
      <c r="O39" s="51"/>
    </row>
    <row r="40" spans="1:17" s="23" customFormat="1">
      <c r="A40" s="95" t="s">
        <v>39</v>
      </c>
      <c r="B40" s="95"/>
      <c r="C40" s="95"/>
      <c r="D40" s="95"/>
      <c r="E40" s="95"/>
      <c r="F40" s="95"/>
      <c r="G40" s="95"/>
      <c r="H40" s="55"/>
      <c r="I40" s="95"/>
      <c r="J40" s="95"/>
      <c r="K40" s="95"/>
      <c r="L40" s="95"/>
      <c r="M40" s="51"/>
      <c r="N40" s="51"/>
      <c r="O40" s="51"/>
    </row>
    <row r="41" spans="1:17" s="23" customFormat="1">
      <c r="A41" s="95" t="s">
        <v>40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51"/>
      <c r="N41" s="51"/>
      <c r="O41" s="51"/>
    </row>
    <row r="42" spans="1:17" s="23" customFormat="1">
      <c r="A42" s="51" t="s">
        <v>41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</sheetData>
  <mergeCells count="20">
    <mergeCell ref="A35:K35"/>
    <mergeCell ref="A36:G36"/>
    <mergeCell ref="A37:H37"/>
    <mergeCell ref="A39:G39"/>
    <mergeCell ref="A6:A8"/>
    <mergeCell ref="I7:K7"/>
    <mergeCell ref="B6:B8"/>
    <mergeCell ref="C6:E7"/>
    <mergeCell ref="A32:L32"/>
    <mergeCell ref="A33:K33"/>
    <mergeCell ref="A34:K34"/>
    <mergeCell ref="L1:O1"/>
    <mergeCell ref="L2:O2"/>
    <mergeCell ref="L3:O3"/>
    <mergeCell ref="L4:O4"/>
    <mergeCell ref="O6:O8"/>
    <mergeCell ref="F6:N6"/>
    <mergeCell ref="F7:H7"/>
    <mergeCell ref="L7:N7"/>
    <mergeCell ref="A5:O5"/>
  </mergeCells>
  <pageMargins left="0.7" right="0.7" top="0.75" bottom="0.75" header="0.3" footer="0.3"/>
  <pageSetup paperSize="9" scale="73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topLeftCell="A11" zoomScale="91" zoomScaleNormal="100" zoomScaleSheetLayoutView="91" workbookViewId="0">
      <selection sqref="A1:G30"/>
    </sheetView>
  </sheetViews>
  <sheetFormatPr defaultColWidth="8.85546875" defaultRowHeight="12.75"/>
  <cols>
    <col min="1" max="1" width="4.42578125" style="1" customWidth="1"/>
    <col min="2" max="2" width="37.85546875" style="1" customWidth="1"/>
    <col min="3" max="4" width="8.28515625" style="1" customWidth="1"/>
    <col min="5" max="6" width="11.42578125" style="1" customWidth="1"/>
    <col min="7" max="7" width="11.7109375" style="1" customWidth="1"/>
    <col min="8" max="16384" width="8.85546875" style="1"/>
  </cols>
  <sheetData>
    <row r="1" spans="1:7" ht="14.45" customHeight="1">
      <c r="D1" s="97" t="s">
        <v>32</v>
      </c>
      <c r="E1" s="97"/>
      <c r="F1" s="97"/>
      <c r="G1" s="97"/>
    </row>
    <row r="2" spans="1:7" ht="14.45" customHeight="1">
      <c r="D2" s="97" t="s">
        <v>29</v>
      </c>
      <c r="E2" s="97"/>
      <c r="F2" s="97"/>
      <c r="G2" s="97"/>
    </row>
    <row r="3" spans="1:7" ht="14.45" customHeight="1">
      <c r="D3" s="97" t="s">
        <v>30</v>
      </c>
      <c r="E3" s="97"/>
      <c r="F3" s="97"/>
      <c r="G3" s="97"/>
    </row>
    <row r="4" spans="1:7" ht="14.45" customHeight="1">
      <c r="D4" s="97" t="s">
        <v>171</v>
      </c>
      <c r="E4" s="97"/>
      <c r="F4" s="97"/>
      <c r="G4" s="97"/>
    </row>
    <row r="5" spans="1:7" s="23" customFormat="1" ht="14.45" customHeight="1">
      <c r="D5" s="56"/>
      <c r="E5" s="56"/>
      <c r="F5" s="56"/>
      <c r="G5" s="56"/>
    </row>
    <row r="6" spans="1:7" s="23" customFormat="1" ht="26.45" customHeight="1">
      <c r="A6" s="113" t="s">
        <v>31</v>
      </c>
      <c r="B6" s="113"/>
      <c r="C6" s="113"/>
      <c r="D6" s="113"/>
      <c r="E6" s="113"/>
      <c r="F6" s="113"/>
      <c r="G6" s="113"/>
    </row>
    <row r="8" spans="1:7" s="3" customFormat="1">
      <c r="A8" s="109" t="s">
        <v>7</v>
      </c>
      <c r="B8" s="112" t="s">
        <v>0</v>
      </c>
      <c r="C8" s="112" t="s">
        <v>1</v>
      </c>
      <c r="D8" s="112"/>
      <c r="E8" s="112" t="s">
        <v>5</v>
      </c>
      <c r="F8" s="112"/>
      <c r="G8" s="112" t="s">
        <v>6</v>
      </c>
    </row>
    <row r="9" spans="1:7" s="3" customFormat="1" ht="25.15" customHeight="1">
      <c r="A9" s="110"/>
      <c r="B9" s="112"/>
      <c r="C9" s="112"/>
      <c r="D9" s="112"/>
      <c r="E9" s="112" t="s">
        <v>9</v>
      </c>
      <c r="F9" s="112"/>
      <c r="G9" s="112"/>
    </row>
    <row r="10" spans="1:7" s="3" customFormat="1" ht="51">
      <c r="A10" s="111"/>
      <c r="B10" s="112"/>
      <c r="C10" s="6" t="s">
        <v>26</v>
      </c>
      <c r="D10" s="6" t="s">
        <v>27</v>
      </c>
      <c r="E10" s="6" t="s">
        <v>43</v>
      </c>
      <c r="F10" s="6" t="s">
        <v>44</v>
      </c>
      <c r="G10" s="112"/>
    </row>
    <row r="11" spans="1:7">
      <c r="A11" s="7">
        <v>1</v>
      </c>
      <c r="B11" s="8" t="s">
        <v>25</v>
      </c>
      <c r="C11" s="6">
        <v>52</v>
      </c>
      <c r="D11" s="6">
        <v>55</v>
      </c>
      <c r="E11" s="9">
        <f>C11*91*5</f>
        <v>23660</v>
      </c>
      <c r="F11" s="9">
        <f>D11*91*5</f>
        <v>25025</v>
      </c>
      <c r="G11" s="9">
        <f>E11+F11</f>
        <v>48685</v>
      </c>
    </row>
    <row r="12" spans="1:7">
      <c r="A12" s="7">
        <v>2</v>
      </c>
      <c r="B12" s="10" t="s">
        <v>10</v>
      </c>
      <c r="C12" s="11">
        <f>C13+C14</f>
        <v>42</v>
      </c>
      <c r="D12" s="11">
        <f>D13+D14</f>
        <v>42</v>
      </c>
      <c r="E12" s="12">
        <f>E13+E14</f>
        <v>19110</v>
      </c>
      <c r="F12" s="12">
        <f>F13+F14</f>
        <v>19110</v>
      </c>
      <c r="G12" s="9">
        <f>E12+F12</f>
        <v>38220</v>
      </c>
    </row>
    <row r="13" spans="1:7" s="17" customFormat="1" ht="12">
      <c r="A13" s="13"/>
      <c r="B13" s="14" t="s">
        <v>11</v>
      </c>
      <c r="C13" s="15">
        <v>27</v>
      </c>
      <c r="D13" s="15">
        <v>32</v>
      </c>
      <c r="E13" s="22">
        <f t="shared" ref="E13:F15" si="0">C13*91*5</f>
        <v>12285</v>
      </c>
      <c r="F13" s="22">
        <f t="shared" si="0"/>
        <v>14560</v>
      </c>
      <c r="G13" s="16"/>
    </row>
    <row r="14" spans="1:7" s="17" customFormat="1" ht="12">
      <c r="A14" s="13"/>
      <c r="B14" s="14" t="s">
        <v>12</v>
      </c>
      <c r="C14" s="15">
        <v>15</v>
      </c>
      <c r="D14" s="15">
        <v>10</v>
      </c>
      <c r="E14" s="22">
        <f t="shared" si="0"/>
        <v>6825</v>
      </c>
      <c r="F14" s="22">
        <f t="shared" si="0"/>
        <v>4550</v>
      </c>
      <c r="G14" s="16"/>
    </row>
    <row r="15" spans="1:7">
      <c r="A15" s="7">
        <v>3</v>
      </c>
      <c r="B15" s="10" t="s">
        <v>13</v>
      </c>
      <c r="C15" s="11">
        <v>35</v>
      </c>
      <c r="D15" s="11">
        <v>35</v>
      </c>
      <c r="E15" s="9">
        <f t="shared" si="0"/>
        <v>15925</v>
      </c>
      <c r="F15" s="9">
        <f t="shared" si="0"/>
        <v>15925</v>
      </c>
      <c r="G15" s="30">
        <f>E15+F15</f>
        <v>31850</v>
      </c>
    </row>
    <row r="16" spans="1:7">
      <c r="A16" s="7">
        <v>4</v>
      </c>
      <c r="B16" s="10" t="s">
        <v>14</v>
      </c>
      <c r="C16" s="11">
        <f>C17+C18</f>
        <v>60</v>
      </c>
      <c r="D16" s="11">
        <f>D17+D18</f>
        <v>60</v>
      </c>
      <c r="E16" s="12">
        <f>E17+E18</f>
        <v>27300</v>
      </c>
      <c r="F16" s="12">
        <f>F17+F18</f>
        <v>27300</v>
      </c>
      <c r="G16" s="30">
        <f>E16+F16</f>
        <v>54600</v>
      </c>
    </row>
    <row r="17" spans="1:7" s="17" customFormat="1" ht="12">
      <c r="A17" s="13"/>
      <c r="B17" s="14" t="s">
        <v>15</v>
      </c>
      <c r="C17" s="15">
        <v>50</v>
      </c>
      <c r="D17" s="15">
        <v>50</v>
      </c>
      <c r="E17" s="22">
        <f>C17*91*5</f>
        <v>22750</v>
      </c>
      <c r="F17" s="22">
        <f>D17*91*5</f>
        <v>22750</v>
      </c>
      <c r="G17" s="32"/>
    </row>
    <row r="18" spans="1:7" s="17" customFormat="1" ht="12">
      <c r="A18" s="13"/>
      <c r="B18" s="14" t="s">
        <v>16</v>
      </c>
      <c r="C18" s="15">
        <v>10</v>
      </c>
      <c r="D18" s="15">
        <v>10</v>
      </c>
      <c r="E18" s="22">
        <f>C18*91*5</f>
        <v>4550</v>
      </c>
      <c r="F18" s="22">
        <f>D18*91*5</f>
        <v>4550</v>
      </c>
      <c r="G18" s="32"/>
    </row>
    <row r="19" spans="1:7">
      <c r="A19" s="7">
        <v>5</v>
      </c>
      <c r="B19" s="10" t="s">
        <v>17</v>
      </c>
      <c r="C19" s="11">
        <f>C20+C21</f>
        <v>27</v>
      </c>
      <c r="D19" s="11">
        <f>D20+D21</f>
        <v>26</v>
      </c>
      <c r="E19" s="12">
        <f>E20+E21</f>
        <v>12285</v>
      </c>
      <c r="F19" s="12">
        <f>F20+F21</f>
        <v>11830</v>
      </c>
      <c r="G19" s="30">
        <f>E19+F19</f>
        <v>24115</v>
      </c>
    </row>
    <row r="20" spans="1:7">
      <c r="A20" s="7"/>
      <c r="B20" s="14" t="s">
        <v>18</v>
      </c>
      <c r="C20" s="15">
        <v>20</v>
      </c>
      <c r="D20" s="15">
        <v>19</v>
      </c>
      <c r="E20" s="22">
        <f>C20*91*5</f>
        <v>9100</v>
      </c>
      <c r="F20" s="22">
        <f>D20*91*5</f>
        <v>8645</v>
      </c>
      <c r="G20" s="32"/>
    </row>
    <row r="21" spans="1:7">
      <c r="A21" s="7"/>
      <c r="B21" s="14" t="s">
        <v>19</v>
      </c>
      <c r="C21" s="15">
        <v>7</v>
      </c>
      <c r="D21" s="15">
        <v>7</v>
      </c>
      <c r="E21" s="22">
        <f>C21*91*5</f>
        <v>3185</v>
      </c>
      <c r="F21" s="22">
        <f>D21*91*5</f>
        <v>3185</v>
      </c>
      <c r="G21" s="32"/>
    </row>
    <row r="22" spans="1:7">
      <c r="A22" s="7">
        <v>6</v>
      </c>
      <c r="B22" s="10" t="s">
        <v>20</v>
      </c>
      <c r="C22" s="11">
        <f>C23+C24+C25</f>
        <v>32</v>
      </c>
      <c r="D22" s="11">
        <f>D23+D24+D25</f>
        <v>32</v>
      </c>
      <c r="E22" s="12">
        <f>E23+E24+E25</f>
        <v>14560</v>
      </c>
      <c r="F22" s="12">
        <f>F23+F24+F25</f>
        <v>14560</v>
      </c>
      <c r="G22" s="30">
        <f>E22+F22</f>
        <v>29120</v>
      </c>
    </row>
    <row r="23" spans="1:7" s="17" customFormat="1" ht="12">
      <c r="A23" s="13"/>
      <c r="B23" s="14" t="s">
        <v>69</v>
      </c>
      <c r="C23" s="15">
        <v>15</v>
      </c>
      <c r="D23" s="15">
        <v>15</v>
      </c>
      <c r="E23" s="22">
        <f t="shared" ref="E23:F25" si="1">C23*91*5</f>
        <v>6825</v>
      </c>
      <c r="F23" s="22">
        <f t="shared" si="1"/>
        <v>6825</v>
      </c>
      <c r="G23" s="32"/>
    </row>
    <row r="24" spans="1:7" s="17" customFormat="1" ht="12">
      <c r="A24" s="13"/>
      <c r="B24" s="14" t="s">
        <v>70</v>
      </c>
      <c r="C24" s="15">
        <v>10</v>
      </c>
      <c r="D24" s="15">
        <v>10</v>
      </c>
      <c r="E24" s="22">
        <f t="shared" si="1"/>
        <v>4550</v>
      </c>
      <c r="F24" s="22">
        <f t="shared" si="1"/>
        <v>4550</v>
      </c>
      <c r="G24" s="32"/>
    </row>
    <row r="25" spans="1:7">
      <c r="A25" s="7"/>
      <c r="B25" s="14" t="s">
        <v>78</v>
      </c>
      <c r="C25" s="15">
        <v>7</v>
      </c>
      <c r="D25" s="15">
        <v>7</v>
      </c>
      <c r="E25" s="22">
        <f t="shared" si="1"/>
        <v>3185</v>
      </c>
      <c r="F25" s="22">
        <f t="shared" si="1"/>
        <v>3185</v>
      </c>
      <c r="G25" s="32"/>
    </row>
    <row r="26" spans="1:7">
      <c r="A26" s="7">
        <v>7</v>
      </c>
      <c r="B26" s="10" t="s">
        <v>22</v>
      </c>
      <c r="C26" s="11">
        <v>48</v>
      </c>
      <c r="D26" s="11">
        <v>47</v>
      </c>
      <c r="E26" s="9">
        <f t="shared" ref="E26:E29" si="2">C26*91*5</f>
        <v>21840</v>
      </c>
      <c r="F26" s="9">
        <f t="shared" ref="F26:F29" si="3">D26*91*5</f>
        <v>21385</v>
      </c>
      <c r="G26" s="30">
        <f>E26+F26</f>
        <v>43225</v>
      </c>
    </row>
    <row r="27" spans="1:7">
      <c r="A27" s="7">
        <v>8</v>
      </c>
      <c r="B27" s="10" t="s">
        <v>23</v>
      </c>
      <c r="C27" s="11">
        <v>12</v>
      </c>
      <c r="D27" s="11">
        <v>12</v>
      </c>
      <c r="E27" s="9">
        <f t="shared" si="2"/>
        <v>5460</v>
      </c>
      <c r="F27" s="9">
        <f t="shared" si="3"/>
        <v>5460</v>
      </c>
      <c r="G27" s="30">
        <f>E27+F27</f>
        <v>10920</v>
      </c>
    </row>
    <row r="28" spans="1:7" ht="63.75">
      <c r="A28" s="7">
        <v>9</v>
      </c>
      <c r="B28" s="8" t="s">
        <v>109</v>
      </c>
      <c r="C28" s="7">
        <v>46</v>
      </c>
      <c r="D28" s="7">
        <v>47</v>
      </c>
      <c r="E28" s="9">
        <f t="shared" si="2"/>
        <v>20930</v>
      </c>
      <c r="F28" s="9">
        <f t="shared" si="3"/>
        <v>21385</v>
      </c>
      <c r="G28" s="30">
        <f>E28+F28</f>
        <v>42315</v>
      </c>
    </row>
    <row r="29" spans="1:7" ht="65.45" customHeight="1">
      <c r="A29" s="7">
        <v>10</v>
      </c>
      <c r="B29" s="73" t="s">
        <v>108</v>
      </c>
      <c r="C29" s="7">
        <v>20</v>
      </c>
      <c r="D29" s="7">
        <v>20</v>
      </c>
      <c r="E29" s="9">
        <f t="shared" si="2"/>
        <v>9100</v>
      </c>
      <c r="F29" s="9">
        <f t="shared" si="3"/>
        <v>9100</v>
      </c>
      <c r="G29" s="9">
        <f>E29+F29</f>
        <v>18200</v>
      </c>
    </row>
    <row r="30" spans="1:7">
      <c r="A30" s="18"/>
      <c r="B30" s="19" t="s">
        <v>6</v>
      </c>
      <c r="C30" s="20">
        <f>C11+C12+C15+C16+C19+C22+C26+C27+C28+C29</f>
        <v>374</v>
      </c>
      <c r="D30" s="20">
        <f>D11+D12+D15+D16+D19+D22+D26+D27+D28+D29</f>
        <v>376</v>
      </c>
      <c r="E30" s="21">
        <f>E11+E12+E15+E16+E19+E22+E26+E27+E28+E29</f>
        <v>170170</v>
      </c>
      <c r="F30" s="21">
        <f>F11+F12+F15+F16+F19+F22+F26+F27+F28+F29</f>
        <v>171080</v>
      </c>
      <c r="G30" s="21">
        <f t="shared" ref="G30" si="4">G11+G12+G15+G16+G19+G22+G25+G26+G27+G28+G29</f>
        <v>341250</v>
      </c>
    </row>
    <row r="32" spans="1:7">
      <c r="E32" s="54"/>
      <c r="F32" s="54"/>
    </row>
    <row r="33" spans="5:6">
      <c r="E33" s="54"/>
      <c r="F33" s="54"/>
    </row>
  </sheetData>
  <mergeCells count="11">
    <mergeCell ref="D1:G1"/>
    <mergeCell ref="D2:G2"/>
    <mergeCell ref="D3:G3"/>
    <mergeCell ref="D4:G4"/>
    <mergeCell ref="A8:A10"/>
    <mergeCell ref="B8:B10"/>
    <mergeCell ref="C8:D9"/>
    <mergeCell ref="E8:F8"/>
    <mergeCell ref="G8:G10"/>
    <mergeCell ref="E9:F9"/>
    <mergeCell ref="A6:G6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7"/>
  <sheetViews>
    <sheetView view="pageBreakPreview" topLeftCell="F1" zoomScale="96" zoomScaleNormal="100" zoomScaleSheetLayoutView="96" workbookViewId="0">
      <selection activeCell="F1" sqref="A1:T35"/>
    </sheetView>
  </sheetViews>
  <sheetFormatPr defaultColWidth="8.85546875" defaultRowHeight="12.75"/>
  <cols>
    <col min="1" max="1" width="4.42578125" style="57" customWidth="1"/>
    <col min="2" max="2" width="28.28515625" style="57" customWidth="1"/>
    <col min="3" max="3" width="9" style="57" bestFit="1" customWidth="1"/>
    <col min="4" max="4" width="11.28515625" style="57" customWidth="1"/>
    <col min="5" max="5" width="8.5703125" style="57" customWidth="1"/>
    <col min="6" max="6" width="8.28515625" style="57" customWidth="1"/>
    <col min="7" max="7" width="6.85546875" style="57" customWidth="1"/>
    <col min="8" max="11" width="11.85546875" style="57" customWidth="1"/>
    <col min="12" max="12" width="10.42578125" style="57" customWidth="1"/>
    <col min="13" max="13" width="11.85546875" style="57" customWidth="1"/>
    <col min="14" max="14" width="10.7109375" style="57" customWidth="1"/>
    <col min="15" max="15" width="9.7109375" style="57" customWidth="1"/>
    <col min="16" max="16" width="9" style="57" customWidth="1"/>
    <col min="17" max="19" width="11.85546875" style="57" customWidth="1"/>
    <col min="20" max="20" width="15" style="57" customWidth="1"/>
    <col min="21" max="21" width="12.5703125" style="57" bestFit="1" customWidth="1"/>
    <col min="22" max="22" width="9.85546875" style="57" bestFit="1" customWidth="1"/>
    <col min="23" max="16384" width="8.85546875" style="57"/>
  </cols>
  <sheetData>
    <row r="1" spans="1:24">
      <c r="P1" s="119" t="s">
        <v>68</v>
      </c>
      <c r="Q1" s="119"/>
      <c r="R1" s="119"/>
      <c r="S1" s="119"/>
    </row>
    <row r="2" spans="1:24">
      <c r="P2" s="119" t="s">
        <v>29</v>
      </c>
      <c r="Q2" s="119"/>
      <c r="R2" s="119"/>
      <c r="S2" s="119"/>
    </row>
    <row r="3" spans="1:24">
      <c r="P3" s="119" t="s">
        <v>30</v>
      </c>
      <c r="Q3" s="119"/>
      <c r="R3" s="119"/>
      <c r="S3" s="119"/>
    </row>
    <row r="4" spans="1:24">
      <c r="P4" s="119" t="s">
        <v>170</v>
      </c>
      <c r="Q4" s="119"/>
      <c r="R4" s="119"/>
      <c r="S4" s="119"/>
    </row>
    <row r="5" spans="1:24">
      <c r="A5" s="58"/>
      <c r="B5" s="58"/>
      <c r="C5" s="58"/>
      <c r="D5" s="58"/>
      <c r="E5" s="58"/>
      <c r="F5" s="58"/>
      <c r="G5" s="58"/>
      <c r="H5" s="58"/>
      <c r="I5" s="59"/>
      <c r="J5" s="59"/>
      <c r="K5" s="58"/>
      <c r="L5" s="58"/>
      <c r="M5" s="58"/>
      <c r="N5" s="58"/>
      <c r="O5" s="58"/>
      <c r="P5" s="120"/>
      <c r="Q5" s="120"/>
      <c r="R5" s="120"/>
      <c r="S5" s="120"/>
      <c r="T5" s="120"/>
    </row>
    <row r="6" spans="1:24" ht="13.15" customHeight="1">
      <c r="A6" s="118" t="s">
        <v>46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58"/>
    </row>
    <row r="7" spans="1:24">
      <c r="A7" s="58"/>
      <c r="B7" s="58"/>
      <c r="C7" s="58"/>
      <c r="D7" s="58"/>
      <c r="E7" s="58"/>
      <c r="F7" s="58"/>
      <c r="G7" s="58"/>
      <c r="H7" s="58"/>
      <c r="I7" s="60"/>
      <c r="J7" s="59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4">
      <c r="A8" s="114" t="s">
        <v>47</v>
      </c>
      <c r="B8" s="114" t="s">
        <v>48</v>
      </c>
      <c r="C8" s="114" t="s">
        <v>49</v>
      </c>
      <c r="D8" s="114" t="s">
        <v>112</v>
      </c>
      <c r="E8" s="114" t="s">
        <v>50</v>
      </c>
      <c r="F8" s="114" t="s">
        <v>51</v>
      </c>
      <c r="G8" s="114"/>
      <c r="H8" s="114" t="s">
        <v>52</v>
      </c>
      <c r="I8" s="114"/>
      <c r="J8" s="114"/>
      <c r="K8" s="114"/>
      <c r="L8" s="114" t="s">
        <v>53</v>
      </c>
      <c r="M8" s="114"/>
      <c r="N8" s="115" t="s">
        <v>161</v>
      </c>
      <c r="O8" s="114" t="s">
        <v>54</v>
      </c>
      <c r="P8" s="114"/>
      <c r="Q8" s="114" t="s">
        <v>55</v>
      </c>
      <c r="R8" s="114"/>
      <c r="S8" s="114" t="s">
        <v>56</v>
      </c>
      <c r="T8" s="61"/>
    </row>
    <row r="9" spans="1:24">
      <c r="A9" s="114"/>
      <c r="B9" s="114"/>
      <c r="C9" s="114"/>
      <c r="D9" s="114"/>
      <c r="E9" s="114"/>
      <c r="F9" s="114" t="s">
        <v>57</v>
      </c>
      <c r="G9" s="114" t="s">
        <v>58</v>
      </c>
      <c r="H9" s="114"/>
      <c r="I9" s="114"/>
      <c r="J9" s="114"/>
      <c r="K9" s="114"/>
      <c r="L9" s="114"/>
      <c r="M9" s="114"/>
      <c r="N9" s="116"/>
      <c r="O9" s="114"/>
      <c r="P9" s="114"/>
      <c r="Q9" s="114"/>
      <c r="R9" s="114"/>
      <c r="S9" s="114"/>
      <c r="T9" s="61"/>
    </row>
    <row r="10" spans="1:24">
      <c r="A10" s="114"/>
      <c r="B10" s="114"/>
      <c r="C10" s="114"/>
      <c r="D10" s="114"/>
      <c r="E10" s="114"/>
      <c r="F10" s="114"/>
      <c r="G10" s="114"/>
      <c r="H10" s="114" t="s">
        <v>57</v>
      </c>
      <c r="I10" s="114" t="s">
        <v>59</v>
      </c>
      <c r="J10" s="114" t="s">
        <v>60</v>
      </c>
      <c r="K10" s="114" t="s">
        <v>58</v>
      </c>
      <c r="L10" s="114" t="s">
        <v>57</v>
      </c>
      <c r="M10" s="114" t="s">
        <v>58</v>
      </c>
      <c r="N10" s="116"/>
      <c r="O10" s="114" t="s">
        <v>61</v>
      </c>
      <c r="P10" s="114" t="s">
        <v>62</v>
      </c>
      <c r="Q10" s="114" t="s">
        <v>63</v>
      </c>
      <c r="R10" s="114" t="s">
        <v>62</v>
      </c>
      <c r="S10" s="114"/>
      <c r="T10" s="121"/>
    </row>
    <row r="11" spans="1:24" ht="55.9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7"/>
      <c r="O11" s="114"/>
      <c r="P11" s="114"/>
      <c r="Q11" s="114"/>
      <c r="R11" s="114"/>
      <c r="S11" s="114"/>
      <c r="T11" s="121"/>
    </row>
    <row r="12" spans="1:24" ht="25.5">
      <c r="A12" s="87" t="s">
        <v>110</v>
      </c>
      <c r="B12" s="76" t="s">
        <v>134</v>
      </c>
      <c r="C12" s="87" t="s">
        <v>111</v>
      </c>
      <c r="D12" s="87" t="s">
        <v>135</v>
      </c>
      <c r="E12" s="87" t="s">
        <v>136</v>
      </c>
      <c r="F12" s="87" t="s">
        <v>137</v>
      </c>
      <c r="G12" s="87" t="s">
        <v>138</v>
      </c>
      <c r="H12" s="77">
        <f>13300*F12</f>
        <v>319200</v>
      </c>
      <c r="I12" s="77">
        <f>937*7*F12</f>
        <v>157416</v>
      </c>
      <c r="J12" s="77">
        <f>H12-I12-58184.4</f>
        <v>103599.6</v>
      </c>
      <c r="K12" s="77">
        <f>13300*G12</f>
        <v>26600</v>
      </c>
      <c r="L12" s="77">
        <f>4795.6*F12</f>
        <v>115094.40000000001</v>
      </c>
      <c r="M12" s="77">
        <f>6445.6*G12</f>
        <v>12891.2</v>
      </c>
      <c r="N12" s="77">
        <v>0</v>
      </c>
      <c r="O12" s="77"/>
      <c r="P12" s="77"/>
      <c r="Q12" s="77">
        <f>R12/F12</f>
        <v>10757.716666666667</v>
      </c>
      <c r="R12" s="77">
        <f>J12+K12+L12+M12</f>
        <v>258185.2</v>
      </c>
      <c r="S12" s="77">
        <v>0</v>
      </c>
      <c r="T12" s="89"/>
    </row>
    <row r="13" spans="1:24" ht="38.25">
      <c r="A13" s="87" t="s">
        <v>138</v>
      </c>
      <c r="B13" s="76" t="s">
        <v>139</v>
      </c>
      <c r="C13" s="87" t="s">
        <v>111</v>
      </c>
      <c r="D13" s="87" t="s">
        <v>140</v>
      </c>
      <c r="E13" s="87" t="s">
        <v>136</v>
      </c>
      <c r="F13" s="87" t="s">
        <v>141</v>
      </c>
      <c r="G13" s="87" t="s">
        <v>110</v>
      </c>
      <c r="H13" s="77">
        <f>11000*F13</f>
        <v>143000</v>
      </c>
      <c r="I13" s="77">
        <f>937*7*F13</f>
        <v>85267</v>
      </c>
      <c r="J13" s="77">
        <f>H13-I13+7636.98</f>
        <v>65369.979999999996</v>
      </c>
      <c r="K13" s="77">
        <f>11000*G13</f>
        <v>11000</v>
      </c>
      <c r="L13" s="77">
        <f>4406.4*F13</f>
        <v>57283.199999999997</v>
      </c>
      <c r="M13" s="77">
        <f>5424.4*G13</f>
        <v>5424.4</v>
      </c>
      <c r="N13" s="77">
        <v>0</v>
      </c>
      <c r="O13" s="77"/>
      <c r="P13" s="77"/>
      <c r="Q13" s="77">
        <f>R13/F13</f>
        <v>10698.275384615383</v>
      </c>
      <c r="R13" s="77">
        <f>J13+K13+L13+M13</f>
        <v>139077.57999999999</v>
      </c>
      <c r="S13" s="77">
        <v>0</v>
      </c>
      <c r="T13" s="89"/>
    </row>
    <row r="14" spans="1:24" ht="51">
      <c r="A14" s="87" t="s">
        <v>142</v>
      </c>
      <c r="B14" s="78" t="s">
        <v>143</v>
      </c>
      <c r="C14" s="87" t="s">
        <v>111</v>
      </c>
      <c r="D14" s="87" t="s">
        <v>144</v>
      </c>
      <c r="E14" s="87" t="s">
        <v>136</v>
      </c>
      <c r="F14" s="87" t="s">
        <v>148</v>
      </c>
      <c r="G14" s="87" t="s">
        <v>138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/>
      <c r="P14" s="77"/>
      <c r="Q14" s="77">
        <v>0</v>
      </c>
      <c r="R14" s="77">
        <v>0</v>
      </c>
      <c r="S14" s="77">
        <v>0</v>
      </c>
      <c r="T14" s="89"/>
    </row>
    <row r="15" spans="1:24" ht="38.25">
      <c r="A15" s="87" t="s">
        <v>145</v>
      </c>
      <c r="B15" s="76" t="s">
        <v>119</v>
      </c>
      <c r="C15" s="75" t="s">
        <v>111</v>
      </c>
      <c r="D15" s="75" t="s">
        <v>113</v>
      </c>
      <c r="E15" s="75" t="s">
        <v>114</v>
      </c>
      <c r="F15" s="75" t="s">
        <v>115</v>
      </c>
      <c r="G15" s="75" t="s">
        <v>110</v>
      </c>
      <c r="H15" s="77">
        <f>21500*F15</f>
        <v>258000</v>
      </c>
      <c r="I15" s="77">
        <f>937*21*F15</f>
        <v>236124</v>
      </c>
      <c r="J15" s="77">
        <f t="shared" ref="J15:J24" si="0">H15-I15</f>
        <v>21876</v>
      </c>
      <c r="K15" s="77">
        <f>21500*G15</f>
        <v>21500</v>
      </c>
      <c r="L15" s="77">
        <f>8800*F15</f>
        <v>105600</v>
      </c>
      <c r="M15" s="77">
        <f>13220*G15</f>
        <v>13220</v>
      </c>
      <c r="N15" s="77"/>
      <c r="O15" s="77"/>
      <c r="P15" s="77"/>
      <c r="Q15" s="77">
        <f t="shared" ref="Q15:Q21" si="1">R15/F15</f>
        <v>12414.666666666666</v>
      </c>
      <c r="R15" s="77">
        <f t="shared" ref="R15:R20" si="2">J15+K15+L15+N15</f>
        <v>148976</v>
      </c>
      <c r="S15" s="77">
        <f t="shared" ref="S15:S20" si="3">M15</f>
        <v>13220</v>
      </c>
      <c r="T15" s="89"/>
    </row>
    <row r="16" spans="1:24" ht="25.5">
      <c r="A16" s="87" t="s">
        <v>146</v>
      </c>
      <c r="B16" s="78" t="s">
        <v>64</v>
      </c>
      <c r="C16" s="75" t="s">
        <v>111</v>
      </c>
      <c r="D16" s="74" t="s">
        <v>116</v>
      </c>
      <c r="E16" s="79">
        <v>21</v>
      </c>
      <c r="F16" s="79">
        <v>12</v>
      </c>
      <c r="G16" s="79">
        <v>1</v>
      </c>
      <c r="H16" s="77">
        <f>23600*F16</f>
        <v>283200</v>
      </c>
      <c r="I16" s="77">
        <f t="shared" ref="I16:I24" si="4">937*21*F16</f>
        <v>236124</v>
      </c>
      <c r="J16" s="77">
        <f t="shared" si="0"/>
        <v>47076</v>
      </c>
      <c r="K16" s="77">
        <f>23600*G16</f>
        <v>23600</v>
      </c>
      <c r="L16" s="77">
        <f>9320*F16</f>
        <v>111840</v>
      </c>
      <c r="M16" s="77">
        <f>14260*G16</f>
        <v>14260</v>
      </c>
      <c r="N16" s="77"/>
      <c r="O16" s="77"/>
      <c r="P16" s="77"/>
      <c r="Q16" s="77">
        <f t="shared" si="1"/>
        <v>15209.666666666666</v>
      </c>
      <c r="R16" s="77">
        <f t="shared" si="2"/>
        <v>182516</v>
      </c>
      <c r="S16" s="77">
        <f t="shared" si="3"/>
        <v>14260</v>
      </c>
      <c r="T16" s="89"/>
      <c r="U16" s="65"/>
      <c r="V16" s="65"/>
      <c r="W16" s="65"/>
      <c r="X16" s="65"/>
    </row>
    <row r="17" spans="1:24" ht="38.25">
      <c r="A17" s="87" t="s">
        <v>162</v>
      </c>
      <c r="B17" s="78" t="s">
        <v>118</v>
      </c>
      <c r="C17" s="75" t="s">
        <v>111</v>
      </c>
      <c r="D17" s="74" t="s">
        <v>117</v>
      </c>
      <c r="E17" s="79">
        <v>21</v>
      </c>
      <c r="F17" s="79">
        <v>12</v>
      </c>
      <c r="G17" s="79">
        <v>0</v>
      </c>
      <c r="H17" s="77">
        <f>20160*F17</f>
        <v>241920</v>
      </c>
      <c r="I17" s="77">
        <f t="shared" si="4"/>
        <v>236124</v>
      </c>
      <c r="J17" s="77">
        <f t="shared" si="0"/>
        <v>5796</v>
      </c>
      <c r="K17" s="77">
        <f>23600*G17</f>
        <v>0</v>
      </c>
      <c r="L17" s="77">
        <v>0</v>
      </c>
      <c r="M17" s="77">
        <f>13680*G17</f>
        <v>0</v>
      </c>
      <c r="N17" s="77">
        <v>0</v>
      </c>
      <c r="O17" s="77"/>
      <c r="P17" s="77"/>
      <c r="Q17" s="77">
        <f t="shared" si="1"/>
        <v>483</v>
      </c>
      <c r="R17" s="77">
        <f t="shared" si="2"/>
        <v>5796</v>
      </c>
      <c r="S17" s="77">
        <f t="shared" si="3"/>
        <v>0</v>
      </c>
      <c r="T17" s="89"/>
      <c r="U17" s="65"/>
      <c r="V17" s="65"/>
      <c r="W17" s="65"/>
      <c r="X17" s="65"/>
    </row>
    <row r="18" spans="1:24" ht="25.5">
      <c r="A18" s="87" t="s">
        <v>136</v>
      </c>
      <c r="B18" s="78" t="s">
        <v>64</v>
      </c>
      <c r="C18" s="75" t="s">
        <v>111</v>
      </c>
      <c r="D18" s="74" t="s">
        <v>120</v>
      </c>
      <c r="E18" s="79">
        <v>21</v>
      </c>
      <c r="F18" s="79">
        <v>12</v>
      </c>
      <c r="G18" s="79">
        <v>1</v>
      </c>
      <c r="H18" s="77">
        <f>23600*F18</f>
        <v>283200</v>
      </c>
      <c r="I18" s="77">
        <f t="shared" si="4"/>
        <v>236124</v>
      </c>
      <c r="J18" s="77">
        <f t="shared" si="0"/>
        <v>47076</v>
      </c>
      <c r="K18" s="77">
        <f>23600*G18</f>
        <v>23600</v>
      </c>
      <c r="L18" s="77">
        <f>9320*F18</f>
        <v>111840</v>
      </c>
      <c r="M18" s="77">
        <f>14260*G18</f>
        <v>14260</v>
      </c>
      <c r="N18" s="77"/>
      <c r="O18" s="77"/>
      <c r="P18" s="77"/>
      <c r="Q18" s="77">
        <f t="shared" si="1"/>
        <v>15209.666666666666</v>
      </c>
      <c r="R18" s="77">
        <f t="shared" si="2"/>
        <v>182516</v>
      </c>
      <c r="S18" s="77">
        <f t="shared" si="3"/>
        <v>14260</v>
      </c>
      <c r="T18" s="89"/>
      <c r="U18" s="65"/>
      <c r="V18" s="65"/>
      <c r="W18" s="65"/>
      <c r="X18" s="65"/>
    </row>
    <row r="19" spans="1:24" ht="38.25">
      <c r="A19" s="87" t="s">
        <v>160</v>
      </c>
      <c r="B19" s="76" t="s">
        <v>121</v>
      </c>
      <c r="C19" s="75" t="s">
        <v>111</v>
      </c>
      <c r="D19" s="74" t="s">
        <v>122</v>
      </c>
      <c r="E19" s="79">
        <v>21</v>
      </c>
      <c r="F19" s="79">
        <v>12</v>
      </c>
      <c r="G19" s="79">
        <v>1</v>
      </c>
      <c r="H19" s="77">
        <f>21500*F19</f>
        <v>258000</v>
      </c>
      <c r="I19" s="77">
        <f t="shared" si="4"/>
        <v>236124</v>
      </c>
      <c r="J19" s="77">
        <f t="shared" si="0"/>
        <v>21876</v>
      </c>
      <c r="K19" s="77">
        <f>21500*G19</f>
        <v>21500</v>
      </c>
      <c r="L19" s="77">
        <f>8800*F19</f>
        <v>105600</v>
      </c>
      <c r="M19" s="77">
        <f>13220*G19</f>
        <v>13220</v>
      </c>
      <c r="N19" s="77"/>
      <c r="O19" s="77"/>
      <c r="P19" s="77"/>
      <c r="Q19" s="77">
        <f t="shared" si="1"/>
        <v>12414.666666666666</v>
      </c>
      <c r="R19" s="77">
        <f t="shared" si="2"/>
        <v>148976</v>
      </c>
      <c r="S19" s="77">
        <f t="shared" si="3"/>
        <v>13220</v>
      </c>
      <c r="T19" s="89"/>
      <c r="U19" s="65"/>
      <c r="V19" s="65"/>
      <c r="W19" s="65"/>
      <c r="X19" s="65"/>
    </row>
    <row r="20" spans="1:24" ht="63.75">
      <c r="A20" s="87" t="s">
        <v>163</v>
      </c>
      <c r="B20" s="78" t="s">
        <v>123</v>
      </c>
      <c r="C20" s="75" t="s">
        <v>111</v>
      </c>
      <c r="D20" s="74" t="s">
        <v>124</v>
      </c>
      <c r="E20" s="79">
        <v>21</v>
      </c>
      <c r="F20" s="79">
        <v>10</v>
      </c>
      <c r="G20" s="79">
        <v>0</v>
      </c>
      <c r="H20" s="77">
        <f>22680*F20</f>
        <v>226800</v>
      </c>
      <c r="I20" s="77">
        <f t="shared" si="4"/>
        <v>196770</v>
      </c>
      <c r="J20" s="77">
        <f t="shared" si="0"/>
        <v>30030</v>
      </c>
      <c r="K20" s="77">
        <f>23600*G20</f>
        <v>0</v>
      </c>
      <c r="L20" s="77">
        <v>0</v>
      </c>
      <c r="M20" s="77">
        <f>13680*G20</f>
        <v>0</v>
      </c>
      <c r="N20" s="77">
        <v>0</v>
      </c>
      <c r="O20" s="77"/>
      <c r="P20" s="77"/>
      <c r="Q20" s="77">
        <f t="shared" si="1"/>
        <v>3003</v>
      </c>
      <c r="R20" s="77">
        <f t="shared" si="2"/>
        <v>30030</v>
      </c>
      <c r="S20" s="77">
        <f t="shared" si="3"/>
        <v>0</v>
      </c>
      <c r="T20" s="89"/>
      <c r="U20" s="65"/>
      <c r="V20" s="65"/>
      <c r="W20" s="65"/>
      <c r="X20" s="65"/>
    </row>
    <row r="21" spans="1:24" ht="25.5">
      <c r="A21" s="87">
        <v>10</v>
      </c>
      <c r="B21" s="78" t="s">
        <v>66</v>
      </c>
      <c r="C21" s="75" t="s">
        <v>111</v>
      </c>
      <c r="D21" s="74" t="s">
        <v>125</v>
      </c>
      <c r="E21" s="79">
        <v>21</v>
      </c>
      <c r="F21" s="79">
        <v>12</v>
      </c>
      <c r="G21" s="79">
        <v>1</v>
      </c>
      <c r="H21" s="77">
        <f>20000*F21</f>
        <v>240000</v>
      </c>
      <c r="I21" s="77">
        <f t="shared" si="4"/>
        <v>236124</v>
      </c>
      <c r="J21" s="77">
        <f t="shared" si="0"/>
        <v>3876</v>
      </c>
      <c r="K21" s="77">
        <v>0</v>
      </c>
      <c r="L21" s="77">
        <f>3565.6*F21</f>
        <v>42787.199999999997</v>
      </c>
      <c r="M21" s="77">
        <f>4894.4*G21</f>
        <v>4894.3999999999996</v>
      </c>
      <c r="N21" s="77"/>
      <c r="O21" s="77"/>
      <c r="P21" s="77"/>
      <c r="Q21" s="77">
        <f t="shared" si="1"/>
        <v>4296.4666666666662</v>
      </c>
      <c r="R21" s="77">
        <f>J21+K21+L21+M21+N21</f>
        <v>51557.599999999999</v>
      </c>
      <c r="S21" s="77">
        <v>0</v>
      </c>
      <c r="T21" s="89"/>
      <c r="U21" s="65"/>
      <c r="V21" s="65"/>
      <c r="W21" s="65"/>
      <c r="X21" s="65"/>
    </row>
    <row r="22" spans="1:24" ht="51">
      <c r="A22" s="87" t="s">
        <v>147</v>
      </c>
      <c r="B22" s="78" t="s">
        <v>149</v>
      </c>
      <c r="C22" s="87" t="s">
        <v>111</v>
      </c>
      <c r="D22" s="74" t="s">
        <v>150</v>
      </c>
      <c r="E22" s="79">
        <v>7</v>
      </c>
      <c r="F22" s="79">
        <v>8</v>
      </c>
      <c r="G22" s="79">
        <v>1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/>
      <c r="P22" s="77"/>
      <c r="Q22" s="77">
        <v>0</v>
      </c>
      <c r="R22" s="77">
        <v>0</v>
      </c>
      <c r="S22" s="77">
        <v>0</v>
      </c>
      <c r="T22" s="89"/>
      <c r="U22" s="65"/>
      <c r="V22" s="65"/>
      <c r="W22" s="65"/>
      <c r="X22" s="65"/>
    </row>
    <row r="23" spans="1:24" ht="38.25">
      <c r="A23" s="87">
        <v>12</v>
      </c>
      <c r="B23" s="78" t="s">
        <v>118</v>
      </c>
      <c r="C23" s="75" t="s">
        <v>111</v>
      </c>
      <c r="D23" s="74" t="s">
        <v>126</v>
      </c>
      <c r="E23" s="79">
        <v>21</v>
      </c>
      <c r="F23" s="79">
        <v>12</v>
      </c>
      <c r="G23" s="79">
        <v>0</v>
      </c>
      <c r="H23" s="77">
        <f>20160*F23</f>
        <v>241920</v>
      </c>
      <c r="I23" s="77">
        <f t="shared" si="4"/>
        <v>236124</v>
      </c>
      <c r="J23" s="77">
        <f t="shared" si="0"/>
        <v>5796</v>
      </c>
      <c r="K23" s="77">
        <f>23600*G23</f>
        <v>0</v>
      </c>
      <c r="L23" s="77">
        <v>0</v>
      </c>
      <c r="M23" s="77">
        <f>13680*G23</f>
        <v>0</v>
      </c>
      <c r="N23" s="77">
        <v>0</v>
      </c>
      <c r="O23" s="77"/>
      <c r="P23" s="77"/>
      <c r="Q23" s="77">
        <f>R23/F23</f>
        <v>483</v>
      </c>
      <c r="R23" s="77">
        <f>J23+K23+L23+N23</f>
        <v>5796</v>
      </c>
      <c r="S23" s="77">
        <f>M23</f>
        <v>0</v>
      </c>
      <c r="T23" s="89"/>
      <c r="U23" s="65"/>
      <c r="V23" s="65"/>
      <c r="W23" s="65"/>
      <c r="X23" s="65"/>
    </row>
    <row r="24" spans="1:24" ht="38.25">
      <c r="A24" s="87">
        <v>13</v>
      </c>
      <c r="B24" s="76" t="s">
        <v>119</v>
      </c>
      <c r="C24" s="75" t="s">
        <v>111</v>
      </c>
      <c r="D24" s="87" t="s">
        <v>151</v>
      </c>
      <c r="E24" s="75" t="s">
        <v>114</v>
      </c>
      <c r="F24" s="75" t="s">
        <v>115</v>
      </c>
      <c r="G24" s="75" t="s">
        <v>110</v>
      </c>
      <c r="H24" s="77">
        <f>21500*F24</f>
        <v>258000</v>
      </c>
      <c r="I24" s="77">
        <f t="shared" si="4"/>
        <v>236124</v>
      </c>
      <c r="J24" s="77">
        <f t="shared" si="0"/>
        <v>21876</v>
      </c>
      <c r="K24" s="77">
        <f>21500*G24</f>
        <v>21500</v>
      </c>
      <c r="L24" s="77">
        <f>8800*F24</f>
        <v>105600</v>
      </c>
      <c r="M24" s="77">
        <f>13220*G24</f>
        <v>13220</v>
      </c>
      <c r="N24" s="77"/>
      <c r="O24" s="77"/>
      <c r="P24" s="77"/>
      <c r="Q24" s="77">
        <f>R24/F24</f>
        <v>12414.666666666666</v>
      </c>
      <c r="R24" s="77">
        <f>J24+K24+L24+N24</f>
        <v>148976</v>
      </c>
      <c r="S24" s="77">
        <f>M24</f>
        <v>13220</v>
      </c>
      <c r="T24" s="89"/>
      <c r="U24" s="65"/>
      <c r="V24" s="65"/>
      <c r="W24" s="65"/>
      <c r="X24" s="65"/>
    </row>
    <row r="25" spans="1:24" ht="63.75">
      <c r="A25" s="87" t="s">
        <v>148</v>
      </c>
      <c r="B25" s="78" t="s">
        <v>152</v>
      </c>
      <c r="C25" s="87" t="s">
        <v>111</v>
      </c>
      <c r="D25" s="87" t="s">
        <v>153</v>
      </c>
      <c r="E25" s="87" t="s">
        <v>136</v>
      </c>
      <c r="F25" s="87" t="s">
        <v>145</v>
      </c>
      <c r="G25" s="87" t="s">
        <v>110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/>
      <c r="P25" s="77"/>
      <c r="Q25" s="77">
        <v>0</v>
      </c>
      <c r="R25" s="77">
        <v>0</v>
      </c>
      <c r="S25" s="77">
        <v>0</v>
      </c>
      <c r="T25" s="89"/>
      <c r="U25" s="65"/>
      <c r="V25" s="65"/>
      <c r="W25" s="65"/>
      <c r="X25" s="65"/>
    </row>
    <row r="26" spans="1:24" ht="89.25">
      <c r="A26" s="87" t="s">
        <v>154</v>
      </c>
      <c r="B26" s="78" t="s">
        <v>155</v>
      </c>
      <c r="C26" s="87" t="s">
        <v>111</v>
      </c>
      <c r="D26" s="87" t="s">
        <v>156</v>
      </c>
      <c r="E26" s="87" t="s">
        <v>136</v>
      </c>
      <c r="F26" s="87" t="s">
        <v>157</v>
      </c>
      <c r="G26" s="87" t="s">
        <v>110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/>
      <c r="P26" s="77"/>
      <c r="Q26" s="77">
        <v>0</v>
      </c>
      <c r="R26" s="77">
        <v>0</v>
      </c>
      <c r="S26" s="77">
        <v>0</v>
      </c>
      <c r="T26" s="89"/>
      <c r="U26" s="65"/>
      <c r="V26" s="65"/>
      <c r="W26" s="65"/>
      <c r="X26" s="65"/>
    </row>
    <row r="27" spans="1:24" ht="63.75">
      <c r="A27" s="87" t="s">
        <v>164</v>
      </c>
      <c r="B27" s="78" t="s">
        <v>158</v>
      </c>
      <c r="C27" s="87" t="s">
        <v>111</v>
      </c>
      <c r="D27" s="87" t="s">
        <v>159</v>
      </c>
      <c r="E27" s="87" t="s">
        <v>136</v>
      </c>
      <c r="F27" s="87" t="s">
        <v>160</v>
      </c>
      <c r="G27" s="87" t="s">
        <v>110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/>
      <c r="P27" s="77"/>
      <c r="Q27" s="77">
        <v>0</v>
      </c>
      <c r="R27" s="77">
        <v>0</v>
      </c>
      <c r="S27" s="77">
        <v>0</v>
      </c>
      <c r="T27" s="89"/>
      <c r="U27" s="65"/>
      <c r="V27" s="65"/>
      <c r="W27" s="65"/>
      <c r="X27" s="65"/>
    </row>
    <row r="28" spans="1:24">
      <c r="A28" s="62"/>
      <c r="B28" s="64" t="s">
        <v>127</v>
      </c>
      <c r="C28" s="64"/>
      <c r="D28" s="64"/>
      <c r="E28" s="80"/>
      <c r="F28" s="82">
        <f>F12+F13+F14+F15+F16+F17+F18+F19+F20+F21+F22+F23+F24+F25+F26+F27</f>
        <v>187</v>
      </c>
      <c r="G28" s="80"/>
      <c r="H28" s="81">
        <f>H12+H13+H14+H15+H16+H17+H18+H19+H20+H21+H22+H23+H24+H25+H26+H27</f>
        <v>2753240</v>
      </c>
      <c r="I28" s="81">
        <f t="shared" ref="I28:S28" si="5">I12+I13+I14+I15+I16+I17+I18+I19+I20+I21+I22+I23+I24+I25+I26+I27</f>
        <v>2328445</v>
      </c>
      <c r="J28" s="81">
        <f t="shared" si="5"/>
        <v>374247.58</v>
      </c>
      <c r="K28" s="81">
        <f t="shared" si="5"/>
        <v>149300</v>
      </c>
      <c r="L28" s="81">
        <f t="shared" si="5"/>
        <v>755644.79999999993</v>
      </c>
      <c r="M28" s="81">
        <f t="shared" si="5"/>
        <v>91390</v>
      </c>
      <c r="N28" s="81">
        <f t="shared" si="5"/>
        <v>0</v>
      </c>
      <c r="O28" s="81">
        <f t="shared" si="5"/>
        <v>0</v>
      </c>
      <c r="P28" s="81">
        <f t="shared" si="5"/>
        <v>0</v>
      </c>
      <c r="Q28" s="81">
        <f t="shared" si="5"/>
        <v>97384.792051282042</v>
      </c>
      <c r="R28" s="81">
        <f t="shared" si="5"/>
        <v>1302402.3800000001</v>
      </c>
      <c r="S28" s="81">
        <f t="shared" si="5"/>
        <v>68180</v>
      </c>
      <c r="T28" s="89"/>
      <c r="U28" s="65"/>
      <c r="V28" s="65"/>
      <c r="W28" s="65"/>
    </row>
    <row r="29" spans="1:24" ht="38.25">
      <c r="A29" s="87" t="s">
        <v>110</v>
      </c>
      <c r="B29" s="76" t="s">
        <v>121</v>
      </c>
      <c r="C29" s="75" t="s">
        <v>128</v>
      </c>
      <c r="D29" s="74" t="s">
        <v>113</v>
      </c>
      <c r="E29" s="79">
        <v>21</v>
      </c>
      <c r="F29" s="79">
        <v>12</v>
      </c>
      <c r="G29" s="79">
        <v>1</v>
      </c>
      <c r="H29" s="77">
        <f>21500*F29</f>
        <v>258000</v>
      </c>
      <c r="I29" s="77">
        <f>H29</f>
        <v>258000</v>
      </c>
      <c r="J29" s="77">
        <f>H29-I29</f>
        <v>0</v>
      </c>
      <c r="K29" s="77">
        <f>21500*G29</f>
        <v>21500</v>
      </c>
      <c r="L29" s="77">
        <f>8800*F29</f>
        <v>105600</v>
      </c>
      <c r="M29" s="77">
        <f>13220*G29</f>
        <v>13220</v>
      </c>
      <c r="N29" s="77"/>
      <c r="O29" s="77">
        <f>P29/F29</f>
        <v>1791.6666666666667</v>
      </c>
      <c r="P29" s="77">
        <f>K29</f>
        <v>21500</v>
      </c>
      <c r="Q29" s="77">
        <f>L29/F29*0.1</f>
        <v>880</v>
      </c>
      <c r="R29" s="77">
        <f>Q29*F29</f>
        <v>10560</v>
      </c>
      <c r="S29" s="77">
        <f>M29</f>
        <v>13220</v>
      </c>
      <c r="T29" s="90"/>
      <c r="U29" s="65"/>
      <c r="V29" s="65"/>
      <c r="W29" s="65"/>
      <c r="X29" s="65"/>
    </row>
    <row r="30" spans="1:24" ht="25.5">
      <c r="A30" s="87" t="s">
        <v>138</v>
      </c>
      <c r="B30" s="78" t="s">
        <v>66</v>
      </c>
      <c r="C30" s="75" t="s">
        <v>128</v>
      </c>
      <c r="D30" s="74" t="s">
        <v>129</v>
      </c>
      <c r="E30" s="79">
        <v>21</v>
      </c>
      <c r="F30" s="79">
        <v>13</v>
      </c>
      <c r="G30" s="79">
        <v>1</v>
      </c>
      <c r="H30" s="77">
        <f>20000*F30</f>
        <v>260000</v>
      </c>
      <c r="I30" s="77">
        <f>H30</f>
        <v>260000</v>
      </c>
      <c r="J30" s="77">
        <v>0</v>
      </c>
      <c r="K30" s="77">
        <v>0</v>
      </c>
      <c r="L30" s="77">
        <f>3565.6*F30</f>
        <v>46352.799999999996</v>
      </c>
      <c r="M30" s="77">
        <f>4894.4*G30*2</f>
        <v>9788.7999999999993</v>
      </c>
      <c r="N30" s="77"/>
      <c r="O30" s="77">
        <f>P30/F30</f>
        <v>752.98461538461538</v>
      </c>
      <c r="P30" s="77">
        <f>M30</f>
        <v>9788.7999999999993</v>
      </c>
      <c r="Q30" s="77">
        <f>L30/F30*0.1</f>
        <v>356.55999999999995</v>
      </c>
      <c r="R30" s="77">
        <f>Q30*F30</f>
        <v>4635.2799999999988</v>
      </c>
      <c r="S30" s="77">
        <v>0</v>
      </c>
      <c r="T30" s="90"/>
      <c r="U30" s="65"/>
      <c r="V30" s="65"/>
      <c r="W30" s="65"/>
      <c r="X30" s="65"/>
    </row>
    <row r="31" spans="1:24" ht="38.25">
      <c r="A31" s="87" t="s">
        <v>142</v>
      </c>
      <c r="B31" s="78" t="s">
        <v>65</v>
      </c>
      <c r="C31" s="63" t="s">
        <v>128</v>
      </c>
      <c r="D31" s="74" t="s">
        <v>130</v>
      </c>
      <c r="E31" s="79">
        <v>21</v>
      </c>
      <c r="F31" s="79">
        <v>13</v>
      </c>
      <c r="G31" s="79">
        <v>1</v>
      </c>
      <c r="H31" s="77">
        <f>20265*F31</f>
        <v>263445</v>
      </c>
      <c r="I31" s="77">
        <f>H31</f>
        <v>263445</v>
      </c>
      <c r="J31" s="77">
        <v>0</v>
      </c>
      <c r="K31" s="77">
        <v>0</v>
      </c>
      <c r="L31" s="77">
        <f>3465.6*F31</f>
        <v>45052.799999999996</v>
      </c>
      <c r="M31" s="77">
        <f>4894.4*G31*2</f>
        <v>9788.7999999999993</v>
      </c>
      <c r="N31" s="77"/>
      <c r="O31" s="77">
        <f>P31/F31</f>
        <v>752.98461538461538</v>
      </c>
      <c r="P31" s="77">
        <f>M31</f>
        <v>9788.7999999999993</v>
      </c>
      <c r="Q31" s="77">
        <f>L31/F31*0.1</f>
        <v>346.55999999999995</v>
      </c>
      <c r="R31" s="77">
        <f>Q31*F31</f>
        <v>4505.2799999999988</v>
      </c>
      <c r="S31" s="77">
        <v>0</v>
      </c>
      <c r="T31" s="90"/>
      <c r="U31" s="65"/>
      <c r="V31" s="65"/>
      <c r="W31" s="65"/>
      <c r="X31" s="65"/>
    </row>
    <row r="32" spans="1:24" ht="38.25">
      <c r="A32" s="87" t="s">
        <v>145</v>
      </c>
      <c r="B32" s="78" t="s">
        <v>118</v>
      </c>
      <c r="C32" s="75" t="s">
        <v>128</v>
      </c>
      <c r="D32" s="74" t="s">
        <v>131</v>
      </c>
      <c r="E32" s="79">
        <v>21</v>
      </c>
      <c r="F32" s="79">
        <v>13</v>
      </c>
      <c r="G32" s="79">
        <v>0</v>
      </c>
      <c r="H32" s="77">
        <f>20160*F32</f>
        <v>262080</v>
      </c>
      <c r="I32" s="77">
        <f>H32</f>
        <v>262080</v>
      </c>
      <c r="J32" s="77">
        <f>H32-I32</f>
        <v>0</v>
      </c>
      <c r="K32" s="77">
        <f>23600*G32</f>
        <v>0</v>
      </c>
      <c r="L32" s="77">
        <v>0</v>
      </c>
      <c r="M32" s="77">
        <f>13680*G32</f>
        <v>0</v>
      </c>
      <c r="N32" s="77"/>
      <c r="O32" s="77"/>
      <c r="P32" s="77"/>
      <c r="Q32" s="77">
        <f>R32/F32</f>
        <v>0</v>
      </c>
      <c r="R32" s="77">
        <f>J32+K32+L32</f>
        <v>0</v>
      </c>
      <c r="S32" s="77">
        <f>M32</f>
        <v>0</v>
      </c>
      <c r="T32" s="90"/>
      <c r="U32" s="65"/>
      <c r="V32" s="65"/>
      <c r="W32" s="65"/>
      <c r="X32" s="65"/>
    </row>
    <row r="33" spans="1:20">
      <c r="A33" s="66"/>
      <c r="B33" s="64" t="s">
        <v>132</v>
      </c>
      <c r="C33" s="64"/>
      <c r="D33" s="64"/>
      <c r="E33" s="80"/>
      <c r="F33" s="80">
        <f>F29+F30+F31+F32</f>
        <v>51</v>
      </c>
      <c r="G33" s="80"/>
      <c r="H33" s="81">
        <f>SUM(H29:H32)</f>
        <v>1043525</v>
      </c>
      <c r="I33" s="81">
        <f t="shared" ref="I33:S33" si="6">SUM(I29:I32)</f>
        <v>1043525</v>
      </c>
      <c r="J33" s="81">
        <f t="shared" si="6"/>
        <v>0</v>
      </c>
      <c r="K33" s="81">
        <f t="shared" si="6"/>
        <v>21500</v>
      </c>
      <c r="L33" s="81">
        <f t="shared" si="6"/>
        <v>197005.59999999998</v>
      </c>
      <c r="M33" s="81">
        <f t="shared" si="6"/>
        <v>32797.599999999999</v>
      </c>
      <c r="N33" s="81">
        <f t="shared" si="6"/>
        <v>0</v>
      </c>
      <c r="O33" s="81">
        <f t="shared" si="6"/>
        <v>3297.6358974358973</v>
      </c>
      <c r="P33" s="81">
        <f t="shared" si="6"/>
        <v>41077.599999999999</v>
      </c>
      <c r="Q33" s="81">
        <f t="shared" si="6"/>
        <v>1583.12</v>
      </c>
      <c r="R33" s="81">
        <f t="shared" si="6"/>
        <v>19700.559999999998</v>
      </c>
      <c r="S33" s="81">
        <f t="shared" si="6"/>
        <v>13220</v>
      </c>
      <c r="T33" s="89"/>
    </row>
    <row r="34" spans="1:20">
      <c r="A34" s="64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9"/>
    </row>
    <row r="35" spans="1:20">
      <c r="A35" s="83"/>
      <c r="B35" s="84" t="s">
        <v>133</v>
      </c>
      <c r="C35" s="84"/>
      <c r="D35" s="84"/>
      <c r="E35" s="84"/>
      <c r="F35" s="85">
        <f>F28+F33</f>
        <v>238</v>
      </c>
      <c r="G35" s="84"/>
      <c r="H35" s="86">
        <f>H28+H33</f>
        <v>3796765</v>
      </c>
      <c r="I35" s="86">
        <f t="shared" ref="I35:S35" si="7">I28+I33</f>
        <v>3371970</v>
      </c>
      <c r="J35" s="86">
        <f t="shared" si="7"/>
        <v>374247.58</v>
      </c>
      <c r="K35" s="86">
        <f t="shared" si="7"/>
        <v>170800</v>
      </c>
      <c r="L35" s="86">
        <f t="shared" si="7"/>
        <v>952650.39999999991</v>
      </c>
      <c r="M35" s="86">
        <f t="shared" si="7"/>
        <v>124187.6</v>
      </c>
      <c r="N35" s="86">
        <f t="shared" si="7"/>
        <v>0</v>
      </c>
      <c r="O35" s="86">
        <f t="shared" si="7"/>
        <v>3297.6358974358973</v>
      </c>
      <c r="P35" s="86">
        <f t="shared" si="7"/>
        <v>41077.599999999999</v>
      </c>
      <c r="Q35" s="86">
        <f t="shared" si="7"/>
        <v>98967.912051282037</v>
      </c>
      <c r="R35" s="86">
        <f t="shared" si="7"/>
        <v>1322102.9400000002</v>
      </c>
      <c r="S35" s="86">
        <f t="shared" si="7"/>
        <v>81400</v>
      </c>
      <c r="T35" s="89"/>
    </row>
    <row r="36" spans="1:20">
      <c r="A36" s="91"/>
      <c r="P36" s="67"/>
    </row>
    <row r="37" spans="1:20">
      <c r="P37" s="67"/>
    </row>
  </sheetData>
  <mergeCells count="31">
    <mergeCell ref="P10:P11"/>
    <mergeCell ref="Q10:Q11"/>
    <mergeCell ref="R10:R11"/>
    <mergeCell ref="A6:S6"/>
    <mergeCell ref="P1:S1"/>
    <mergeCell ref="P2:S2"/>
    <mergeCell ref="P3:S3"/>
    <mergeCell ref="P4:S4"/>
    <mergeCell ref="P5:T5"/>
    <mergeCell ref="T10:T11"/>
    <mergeCell ref="O8:P9"/>
    <mergeCell ref="Q8:R9"/>
    <mergeCell ref="S8:S11"/>
    <mergeCell ref="F9:F11"/>
    <mergeCell ref="L10:L11"/>
    <mergeCell ref="F8:G8"/>
    <mergeCell ref="O10:O11"/>
    <mergeCell ref="A8:A11"/>
    <mergeCell ref="B8:B11"/>
    <mergeCell ref="C8:C11"/>
    <mergeCell ref="D8:D11"/>
    <mergeCell ref="E8:E11"/>
    <mergeCell ref="H8:K9"/>
    <mergeCell ref="L8:M9"/>
    <mergeCell ref="G9:G11"/>
    <mergeCell ref="H10:H11"/>
    <mergeCell ref="I10:I11"/>
    <mergeCell ref="J10:J11"/>
    <mergeCell ref="K10:K11"/>
    <mergeCell ref="M10:M11"/>
    <mergeCell ref="N8:N11"/>
  </mergeCells>
  <pageMargins left="0.7" right="0.7" top="0.75" bottom="0.75" header="0.3" footer="0.3"/>
  <pageSetup paperSize="9" scale="62" orientation="landscape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87" zoomScaleNormal="100" zoomScaleSheetLayoutView="87" workbookViewId="0">
      <selection sqref="A1:I21"/>
    </sheetView>
  </sheetViews>
  <sheetFormatPr defaultColWidth="8.85546875" defaultRowHeight="12.75"/>
  <cols>
    <col min="1" max="1" width="5.140625" style="23" customWidth="1"/>
    <col min="2" max="2" width="33.85546875" style="23" customWidth="1"/>
    <col min="3" max="4" width="15.28515625" style="23" customWidth="1"/>
    <col min="5" max="7" width="17.5703125" style="23" customWidth="1"/>
    <col min="8" max="8" width="16.85546875" style="23" customWidth="1"/>
    <col min="9" max="16384" width="8.85546875" style="23"/>
  </cols>
  <sheetData>
    <row r="1" spans="1:11">
      <c r="G1" s="97" t="s">
        <v>88</v>
      </c>
      <c r="H1" s="97"/>
    </row>
    <row r="2" spans="1:11">
      <c r="G2" s="97" t="s">
        <v>29</v>
      </c>
      <c r="H2" s="97"/>
    </row>
    <row r="3" spans="1:11">
      <c r="G3" s="97" t="s">
        <v>30</v>
      </c>
      <c r="H3" s="97"/>
    </row>
    <row r="4" spans="1:11">
      <c r="G4" s="97" t="s">
        <v>170</v>
      </c>
      <c r="H4" s="97"/>
    </row>
    <row r="5" spans="1:11">
      <c r="G5" s="49"/>
      <c r="H5" s="49"/>
    </row>
    <row r="6" spans="1:11" ht="14.45" customHeight="1">
      <c r="A6" s="122" t="s">
        <v>101</v>
      </c>
      <c r="B6" s="122"/>
      <c r="C6" s="122"/>
      <c r="D6" s="122"/>
      <c r="E6" s="122"/>
      <c r="F6" s="122"/>
      <c r="G6" s="122"/>
      <c r="H6" s="122"/>
    </row>
    <row r="8" spans="1:11" s="3" customFormat="1" ht="13.15" customHeight="1">
      <c r="A8" s="109" t="s">
        <v>7</v>
      </c>
      <c r="B8" s="112" t="s">
        <v>0</v>
      </c>
      <c r="C8" s="109" t="s">
        <v>1</v>
      </c>
      <c r="D8" s="109" t="s">
        <v>37</v>
      </c>
      <c r="E8" s="112" t="s">
        <v>5</v>
      </c>
      <c r="F8" s="112"/>
      <c r="G8" s="112"/>
      <c r="H8" s="112" t="s">
        <v>6</v>
      </c>
    </row>
    <row r="9" spans="1:11" s="3" customFormat="1" ht="54.6" customHeight="1">
      <c r="A9" s="110"/>
      <c r="B9" s="112"/>
      <c r="C9" s="110"/>
      <c r="D9" s="110"/>
      <c r="E9" s="50" t="s">
        <v>9</v>
      </c>
      <c r="F9" s="53" t="s">
        <v>8</v>
      </c>
      <c r="G9" s="48" t="s">
        <v>87</v>
      </c>
      <c r="H9" s="112"/>
    </row>
    <row r="10" spans="1:11" s="3" customFormat="1" ht="25.5">
      <c r="A10" s="111"/>
      <c r="B10" s="112"/>
      <c r="C10" s="111"/>
      <c r="D10" s="111"/>
      <c r="E10" s="53" t="s">
        <v>85</v>
      </c>
      <c r="F10" s="53" t="s">
        <v>85</v>
      </c>
      <c r="G10" s="53" t="s">
        <v>86</v>
      </c>
      <c r="H10" s="112"/>
    </row>
    <row r="11" spans="1:11">
      <c r="A11" s="7">
        <v>1</v>
      </c>
      <c r="B11" s="10" t="s">
        <v>76</v>
      </c>
      <c r="C11" s="53">
        <v>10</v>
      </c>
      <c r="D11" s="53">
        <v>1</v>
      </c>
      <c r="E11" s="24">
        <f>(C11+D11)*91*7</f>
        <v>7007</v>
      </c>
      <c r="F11" s="24"/>
      <c r="G11" s="24"/>
      <c r="H11" s="9">
        <f>E11+G11</f>
        <v>7007</v>
      </c>
    </row>
    <row r="12" spans="1:11">
      <c r="A12" s="7"/>
      <c r="B12" s="10"/>
      <c r="C12" s="25"/>
      <c r="D12" s="25"/>
      <c r="E12" s="26"/>
      <c r="F12" s="26"/>
      <c r="G12" s="26"/>
      <c r="H12" s="9"/>
    </row>
    <row r="13" spans="1:11">
      <c r="A13" s="18"/>
      <c r="B13" s="19" t="s">
        <v>6</v>
      </c>
      <c r="C13" s="27">
        <v>10</v>
      </c>
      <c r="D13" s="27">
        <f>D11</f>
        <v>1</v>
      </c>
      <c r="E13" s="28">
        <f>E11</f>
        <v>7007</v>
      </c>
      <c r="F13" s="28"/>
      <c r="G13" s="28">
        <f>G11</f>
        <v>0</v>
      </c>
      <c r="H13" s="21">
        <f>H11</f>
        <v>7007</v>
      </c>
    </row>
    <row r="15" spans="1:11" customFormat="1" ht="15">
      <c r="A15" s="23" t="s">
        <v>33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customFormat="1" ht="15">
      <c r="A16" s="23" t="s">
        <v>82</v>
      </c>
      <c r="B16" s="68"/>
      <c r="C16" s="23"/>
      <c r="D16" s="23"/>
      <c r="E16" s="23"/>
      <c r="F16" s="23"/>
      <c r="G16" s="23"/>
      <c r="H16" s="23"/>
      <c r="I16" s="23"/>
      <c r="J16" s="23"/>
      <c r="K16" s="23"/>
    </row>
    <row r="17" spans="1:11" customFormat="1" ht="15">
      <c r="A17" s="23" t="s">
        <v>83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customFormat="1" ht="15">
      <c r="A18" s="23" t="s">
        <v>84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customFormat="1" ht="15">
      <c r="A19" s="23" t="s">
        <v>34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customFormat="1" ht="15">
      <c r="A20" s="23" t="s">
        <v>80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customFormat="1" ht="15">
      <c r="A21" s="23" t="s">
        <v>81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11">
    <mergeCell ref="D8:D10"/>
    <mergeCell ref="G1:H1"/>
    <mergeCell ref="G2:H2"/>
    <mergeCell ref="G3:H3"/>
    <mergeCell ref="G4:H4"/>
    <mergeCell ref="A6:H6"/>
    <mergeCell ref="A8:A10"/>
    <mergeCell ref="B8:B10"/>
    <mergeCell ref="C8:C10"/>
    <mergeCell ref="E8:G8"/>
    <mergeCell ref="H8:H10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view="pageBreakPreview" zoomScale="91" zoomScaleNormal="100" zoomScaleSheetLayoutView="91" workbookViewId="0">
      <selection sqref="A1:H24"/>
    </sheetView>
  </sheetViews>
  <sheetFormatPr defaultColWidth="8.85546875" defaultRowHeight="12.75"/>
  <cols>
    <col min="1" max="1" width="5.140625" style="23" customWidth="1"/>
    <col min="2" max="2" width="38.85546875" style="23" customWidth="1"/>
    <col min="3" max="4" width="15.28515625" style="23" customWidth="1"/>
    <col min="5" max="7" width="17.5703125" style="23" customWidth="1"/>
    <col min="8" max="8" width="16.85546875" style="23" customWidth="1"/>
    <col min="9" max="16384" width="8.85546875" style="23"/>
  </cols>
  <sheetData>
    <row r="1" spans="1:8">
      <c r="G1" s="97" t="s">
        <v>79</v>
      </c>
      <c r="H1" s="97"/>
    </row>
    <row r="2" spans="1:8">
      <c r="G2" s="97" t="s">
        <v>29</v>
      </c>
      <c r="H2" s="97"/>
    </row>
    <row r="3" spans="1:8">
      <c r="G3" s="97" t="s">
        <v>30</v>
      </c>
      <c r="H3" s="97"/>
    </row>
    <row r="4" spans="1:8">
      <c r="G4" s="97" t="s">
        <v>170</v>
      </c>
      <c r="H4" s="97"/>
    </row>
    <row r="5" spans="1:8">
      <c r="G5" s="2"/>
      <c r="H5" s="2"/>
    </row>
    <row r="6" spans="1:8" ht="14.45" customHeight="1">
      <c r="A6" s="122" t="s">
        <v>91</v>
      </c>
      <c r="B6" s="122"/>
      <c r="C6" s="122"/>
      <c r="D6" s="122"/>
      <c r="E6" s="122"/>
      <c r="F6" s="122"/>
      <c r="G6" s="122"/>
      <c r="H6" s="122"/>
    </row>
    <row r="8" spans="1:8" s="3" customFormat="1" ht="13.15" customHeight="1">
      <c r="A8" s="109" t="s">
        <v>7</v>
      </c>
      <c r="B8" s="112" t="s">
        <v>0</v>
      </c>
      <c r="C8" s="124" t="s">
        <v>1</v>
      </c>
      <c r="D8" s="124" t="s">
        <v>89</v>
      </c>
      <c r="E8" s="112" t="s">
        <v>5</v>
      </c>
      <c r="F8" s="112"/>
      <c r="G8" s="112"/>
      <c r="H8" s="112" t="s">
        <v>6</v>
      </c>
    </row>
    <row r="9" spans="1:8" s="3" customFormat="1" ht="53.45" customHeight="1">
      <c r="A9" s="110"/>
      <c r="B9" s="112"/>
      <c r="C9" s="125"/>
      <c r="D9" s="125"/>
      <c r="E9" s="6" t="s">
        <v>9</v>
      </c>
      <c r="F9" s="4" t="s">
        <v>8</v>
      </c>
      <c r="G9" s="5" t="s">
        <v>87</v>
      </c>
      <c r="H9" s="112"/>
    </row>
    <row r="10" spans="1:8" s="3" customFormat="1" ht="25.5">
      <c r="A10" s="111"/>
      <c r="B10" s="112"/>
      <c r="C10" s="126"/>
      <c r="D10" s="126"/>
      <c r="E10" s="4" t="s">
        <v>92</v>
      </c>
      <c r="F10" s="53" t="s">
        <v>92</v>
      </c>
      <c r="G10" s="4" t="s">
        <v>36</v>
      </c>
      <c r="H10" s="112"/>
    </row>
    <row r="11" spans="1:8">
      <c r="A11" s="7">
        <v>1</v>
      </c>
      <c r="B11" s="10" t="s">
        <v>76</v>
      </c>
      <c r="C11" s="4">
        <v>15</v>
      </c>
      <c r="D11" s="69">
        <v>1</v>
      </c>
      <c r="E11" s="24">
        <f>(C11+D11)*7*91</f>
        <v>10192</v>
      </c>
      <c r="F11" s="24"/>
      <c r="G11" s="24">
        <f>C11*300</f>
        <v>4500</v>
      </c>
      <c r="H11" s="9">
        <f>E11+G11</f>
        <v>14692</v>
      </c>
    </row>
    <row r="12" spans="1:8">
      <c r="A12" s="7"/>
      <c r="B12" s="10"/>
      <c r="C12" s="25"/>
      <c r="D12" s="25"/>
      <c r="E12" s="26"/>
      <c r="F12" s="26"/>
      <c r="G12" s="26"/>
      <c r="H12" s="9"/>
    </row>
    <row r="13" spans="1:8">
      <c r="A13" s="18"/>
      <c r="B13" s="19" t="s">
        <v>6</v>
      </c>
      <c r="C13" s="27">
        <f>C11</f>
        <v>15</v>
      </c>
      <c r="D13" s="27">
        <f>D11</f>
        <v>1</v>
      </c>
      <c r="E13" s="28">
        <f>E11</f>
        <v>10192</v>
      </c>
      <c r="F13" s="28"/>
      <c r="G13" s="28">
        <f>G11</f>
        <v>4500</v>
      </c>
      <c r="H13" s="21">
        <f>H11</f>
        <v>14692</v>
      </c>
    </row>
    <row r="15" spans="1:8" ht="14.45" customHeight="1">
      <c r="A15" s="101" t="s">
        <v>33</v>
      </c>
      <c r="B15" s="101"/>
      <c r="C15" s="101"/>
      <c r="D15" s="101"/>
      <c r="E15" s="101"/>
      <c r="F15" s="101"/>
      <c r="G15" s="101"/>
      <c r="H15" s="101"/>
    </row>
    <row r="16" spans="1:8" ht="13.15" customHeight="1">
      <c r="A16" s="100" t="s">
        <v>94</v>
      </c>
      <c r="B16" s="100"/>
      <c r="C16" s="100"/>
      <c r="D16" s="100"/>
      <c r="E16" s="100"/>
      <c r="F16" s="100"/>
      <c r="G16" s="100"/>
      <c r="H16" s="100"/>
    </row>
    <row r="17" spans="1:8">
      <c r="A17" s="100"/>
      <c r="B17" s="100"/>
      <c r="C17" s="100"/>
      <c r="D17" s="100"/>
      <c r="E17" s="100"/>
      <c r="F17" s="100"/>
      <c r="G17" s="100"/>
      <c r="H17" s="100"/>
    </row>
    <row r="18" spans="1:8">
      <c r="A18" s="123" t="s">
        <v>93</v>
      </c>
      <c r="B18" s="123"/>
      <c r="C18" s="123"/>
      <c r="D18" s="123"/>
      <c r="E18" s="123"/>
      <c r="F18" s="123"/>
      <c r="G18" s="123"/>
      <c r="H18" s="123"/>
    </row>
    <row r="19" spans="1:8" ht="13.15" customHeight="1">
      <c r="A19" s="100" t="s">
        <v>90</v>
      </c>
      <c r="B19" s="100"/>
      <c r="C19" s="100"/>
      <c r="D19" s="100"/>
      <c r="E19" s="100"/>
      <c r="F19" s="100"/>
      <c r="G19" s="100"/>
      <c r="H19" s="100"/>
    </row>
    <row r="20" spans="1:8" ht="14.45" customHeight="1">
      <c r="A20" s="101" t="s">
        <v>34</v>
      </c>
      <c r="B20" s="101"/>
      <c r="C20" s="101"/>
      <c r="D20" s="101"/>
      <c r="E20" s="101"/>
      <c r="F20" s="101"/>
      <c r="G20" s="101"/>
      <c r="H20" s="101"/>
    </row>
    <row r="21" spans="1:8">
      <c r="A21" s="101" t="s">
        <v>71</v>
      </c>
      <c r="B21" s="101"/>
      <c r="C21" s="101"/>
      <c r="D21" s="101"/>
      <c r="E21" s="101"/>
      <c r="F21" s="101"/>
      <c r="G21" s="101"/>
      <c r="H21" s="101"/>
    </row>
    <row r="22" spans="1:8">
      <c r="A22" s="101" t="s">
        <v>39</v>
      </c>
      <c r="B22" s="101"/>
      <c r="C22" s="101"/>
      <c r="D22" s="101"/>
      <c r="E22" s="101"/>
      <c r="F22" s="101"/>
      <c r="G22" s="101"/>
      <c r="H22" s="101"/>
    </row>
    <row r="23" spans="1:8">
      <c r="A23" s="101" t="s">
        <v>40</v>
      </c>
      <c r="B23" s="101"/>
      <c r="C23" s="101"/>
      <c r="D23" s="101"/>
      <c r="E23" s="101"/>
      <c r="F23" s="101"/>
      <c r="G23" s="101"/>
      <c r="H23" s="101"/>
    </row>
    <row r="24" spans="1:8">
      <c r="A24" s="101" t="s">
        <v>41</v>
      </c>
      <c r="B24" s="101"/>
      <c r="C24" s="101"/>
      <c r="D24" s="101"/>
      <c r="E24" s="101"/>
      <c r="F24" s="101"/>
      <c r="G24" s="101"/>
      <c r="H24" s="101"/>
    </row>
  </sheetData>
  <mergeCells count="20">
    <mergeCell ref="A21:H21"/>
    <mergeCell ref="A22:H22"/>
    <mergeCell ref="A23:H23"/>
    <mergeCell ref="A24:H24"/>
    <mergeCell ref="A6:H6"/>
    <mergeCell ref="A15:H15"/>
    <mergeCell ref="A16:H17"/>
    <mergeCell ref="A18:H18"/>
    <mergeCell ref="A19:H19"/>
    <mergeCell ref="A20:H20"/>
    <mergeCell ref="C8:C10"/>
    <mergeCell ref="D8:D10"/>
    <mergeCell ref="G1:H1"/>
    <mergeCell ref="G2:H2"/>
    <mergeCell ref="G3:H3"/>
    <mergeCell ref="G4:H4"/>
    <mergeCell ref="A8:A10"/>
    <mergeCell ref="B8:B10"/>
    <mergeCell ref="E8:G8"/>
    <mergeCell ref="H8:H10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view="pageBreakPreview" zoomScale="93" zoomScaleNormal="100" zoomScaleSheetLayoutView="93" workbookViewId="0">
      <selection sqref="A1:H25"/>
    </sheetView>
  </sheetViews>
  <sheetFormatPr defaultRowHeight="12.75"/>
  <cols>
    <col min="1" max="1" width="5.140625" style="23" customWidth="1"/>
    <col min="2" max="2" width="40.42578125" style="23" customWidth="1"/>
    <col min="3" max="4" width="15.28515625" style="23" customWidth="1"/>
    <col min="5" max="5" width="18.7109375" style="23" customWidth="1"/>
    <col min="6" max="7" width="17.5703125" style="23" customWidth="1"/>
    <col min="8" max="8" width="16.85546875" style="23" customWidth="1"/>
    <col min="9" max="257" width="8.85546875" style="23"/>
    <col min="258" max="258" width="5.140625" style="23" customWidth="1"/>
    <col min="259" max="259" width="52.7109375" style="23" customWidth="1"/>
    <col min="260" max="261" width="18.7109375" style="23" customWidth="1"/>
    <col min="262" max="263" width="17.5703125" style="23" customWidth="1"/>
    <col min="264" max="264" width="16.85546875" style="23" customWidth="1"/>
    <col min="265" max="513" width="8.85546875" style="23"/>
    <col min="514" max="514" width="5.140625" style="23" customWidth="1"/>
    <col min="515" max="515" width="52.7109375" style="23" customWidth="1"/>
    <col min="516" max="517" width="18.7109375" style="23" customWidth="1"/>
    <col min="518" max="519" width="17.5703125" style="23" customWidth="1"/>
    <col min="520" max="520" width="16.85546875" style="23" customWidth="1"/>
    <col min="521" max="769" width="8.85546875" style="23"/>
    <col min="770" max="770" width="5.140625" style="23" customWidth="1"/>
    <col min="771" max="771" width="52.7109375" style="23" customWidth="1"/>
    <col min="772" max="773" width="18.7109375" style="23" customWidth="1"/>
    <col min="774" max="775" width="17.5703125" style="23" customWidth="1"/>
    <col min="776" max="776" width="16.85546875" style="23" customWidth="1"/>
    <col min="777" max="1025" width="8.85546875" style="23"/>
    <col min="1026" max="1026" width="5.140625" style="23" customWidth="1"/>
    <col min="1027" max="1027" width="52.7109375" style="23" customWidth="1"/>
    <col min="1028" max="1029" width="18.7109375" style="23" customWidth="1"/>
    <col min="1030" max="1031" width="17.5703125" style="23" customWidth="1"/>
    <col min="1032" max="1032" width="16.85546875" style="23" customWidth="1"/>
    <col min="1033" max="1281" width="8.85546875" style="23"/>
    <col min="1282" max="1282" width="5.140625" style="23" customWidth="1"/>
    <col min="1283" max="1283" width="52.7109375" style="23" customWidth="1"/>
    <col min="1284" max="1285" width="18.7109375" style="23" customWidth="1"/>
    <col min="1286" max="1287" width="17.5703125" style="23" customWidth="1"/>
    <col min="1288" max="1288" width="16.85546875" style="23" customWidth="1"/>
    <col min="1289" max="1537" width="8.85546875" style="23"/>
    <col min="1538" max="1538" width="5.140625" style="23" customWidth="1"/>
    <col min="1539" max="1539" width="52.7109375" style="23" customWidth="1"/>
    <col min="1540" max="1541" width="18.7109375" style="23" customWidth="1"/>
    <col min="1542" max="1543" width="17.5703125" style="23" customWidth="1"/>
    <col min="1544" max="1544" width="16.85546875" style="23" customWidth="1"/>
    <col min="1545" max="1793" width="8.85546875" style="23"/>
    <col min="1794" max="1794" width="5.140625" style="23" customWidth="1"/>
    <col min="1795" max="1795" width="52.7109375" style="23" customWidth="1"/>
    <col min="1796" max="1797" width="18.7109375" style="23" customWidth="1"/>
    <col min="1798" max="1799" width="17.5703125" style="23" customWidth="1"/>
    <col min="1800" max="1800" width="16.85546875" style="23" customWidth="1"/>
    <col min="1801" max="2049" width="8.85546875" style="23"/>
    <col min="2050" max="2050" width="5.140625" style="23" customWidth="1"/>
    <col min="2051" max="2051" width="52.7109375" style="23" customWidth="1"/>
    <col min="2052" max="2053" width="18.7109375" style="23" customWidth="1"/>
    <col min="2054" max="2055" width="17.5703125" style="23" customWidth="1"/>
    <col min="2056" max="2056" width="16.85546875" style="23" customWidth="1"/>
    <col min="2057" max="2305" width="8.85546875" style="23"/>
    <col min="2306" max="2306" width="5.140625" style="23" customWidth="1"/>
    <col min="2307" max="2307" width="52.7109375" style="23" customWidth="1"/>
    <col min="2308" max="2309" width="18.7109375" style="23" customWidth="1"/>
    <col min="2310" max="2311" width="17.5703125" style="23" customWidth="1"/>
    <col min="2312" max="2312" width="16.85546875" style="23" customWidth="1"/>
    <col min="2313" max="2561" width="8.85546875" style="23"/>
    <col min="2562" max="2562" width="5.140625" style="23" customWidth="1"/>
    <col min="2563" max="2563" width="52.7109375" style="23" customWidth="1"/>
    <col min="2564" max="2565" width="18.7109375" style="23" customWidth="1"/>
    <col min="2566" max="2567" width="17.5703125" style="23" customWidth="1"/>
    <col min="2568" max="2568" width="16.85546875" style="23" customWidth="1"/>
    <col min="2569" max="2817" width="8.85546875" style="23"/>
    <col min="2818" max="2818" width="5.140625" style="23" customWidth="1"/>
    <col min="2819" max="2819" width="52.7109375" style="23" customWidth="1"/>
    <col min="2820" max="2821" width="18.7109375" style="23" customWidth="1"/>
    <col min="2822" max="2823" width="17.5703125" style="23" customWidth="1"/>
    <col min="2824" max="2824" width="16.85546875" style="23" customWidth="1"/>
    <col min="2825" max="3073" width="8.85546875" style="23"/>
    <col min="3074" max="3074" width="5.140625" style="23" customWidth="1"/>
    <col min="3075" max="3075" width="52.7109375" style="23" customWidth="1"/>
    <col min="3076" max="3077" width="18.7109375" style="23" customWidth="1"/>
    <col min="3078" max="3079" width="17.5703125" style="23" customWidth="1"/>
    <col min="3080" max="3080" width="16.85546875" style="23" customWidth="1"/>
    <col min="3081" max="3329" width="8.85546875" style="23"/>
    <col min="3330" max="3330" width="5.140625" style="23" customWidth="1"/>
    <col min="3331" max="3331" width="52.7109375" style="23" customWidth="1"/>
    <col min="3332" max="3333" width="18.7109375" style="23" customWidth="1"/>
    <col min="3334" max="3335" width="17.5703125" style="23" customWidth="1"/>
    <col min="3336" max="3336" width="16.85546875" style="23" customWidth="1"/>
    <col min="3337" max="3585" width="8.85546875" style="23"/>
    <col min="3586" max="3586" width="5.140625" style="23" customWidth="1"/>
    <col min="3587" max="3587" width="52.7109375" style="23" customWidth="1"/>
    <col min="3588" max="3589" width="18.7109375" style="23" customWidth="1"/>
    <col min="3590" max="3591" width="17.5703125" style="23" customWidth="1"/>
    <col min="3592" max="3592" width="16.85546875" style="23" customWidth="1"/>
    <col min="3593" max="3841" width="8.85546875" style="23"/>
    <col min="3842" max="3842" width="5.140625" style="23" customWidth="1"/>
    <col min="3843" max="3843" width="52.7109375" style="23" customWidth="1"/>
    <col min="3844" max="3845" width="18.7109375" style="23" customWidth="1"/>
    <col min="3846" max="3847" width="17.5703125" style="23" customWidth="1"/>
    <col min="3848" max="3848" width="16.85546875" style="23" customWidth="1"/>
    <col min="3849" max="4097" width="8.85546875" style="23"/>
    <col min="4098" max="4098" width="5.140625" style="23" customWidth="1"/>
    <col min="4099" max="4099" width="52.7109375" style="23" customWidth="1"/>
    <col min="4100" max="4101" width="18.7109375" style="23" customWidth="1"/>
    <col min="4102" max="4103" width="17.5703125" style="23" customWidth="1"/>
    <col min="4104" max="4104" width="16.85546875" style="23" customWidth="1"/>
    <col min="4105" max="4353" width="8.85546875" style="23"/>
    <col min="4354" max="4354" width="5.140625" style="23" customWidth="1"/>
    <col min="4355" max="4355" width="52.7109375" style="23" customWidth="1"/>
    <col min="4356" max="4357" width="18.7109375" style="23" customWidth="1"/>
    <col min="4358" max="4359" width="17.5703125" style="23" customWidth="1"/>
    <col min="4360" max="4360" width="16.85546875" style="23" customWidth="1"/>
    <col min="4361" max="4609" width="8.85546875" style="23"/>
    <col min="4610" max="4610" width="5.140625" style="23" customWidth="1"/>
    <col min="4611" max="4611" width="52.7109375" style="23" customWidth="1"/>
    <col min="4612" max="4613" width="18.7109375" style="23" customWidth="1"/>
    <col min="4614" max="4615" width="17.5703125" style="23" customWidth="1"/>
    <col min="4616" max="4616" width="16.85546875" style="23" customWidth="1"/>
    <col min="4617" max="4865" width="8.85546875" style="23"/>
    <col min="4866" max="4866" width="5.140625" style="23" customWidth="1"/>
    <col min="4867" max="4867" width="52.7109375" style="23" customWidth="1"/>
    <col min="4868" max="4869" width="18.7109375" style="23" customWidth="1"/>
    <col min="4870" max="4871" width="17.5703125" style="23" customWidth="1"/>
    <col min="4872" max="4872" width="16.85546875" style="23" customWidth="1"/>
    <col min="4873" max="5121" width="8.85546875" style="23"/>
    <col min="5122" max="5122" width="5.140625" style="23" customWidth="1"/>
    <col min="5123" max="5123" width="52.7109375" style="23" customWidth="1"/>
    <col min="5124" max="5125" width="18.7109375" style="23" customWidth="1"/>
    <col min="5126" max="5127" width="17.5703125" style="23" customWidth="1"/>
    <col min="5128" max="5128" width="16.85546875" style="23" customWidth="1"/>
    <col min="5129" max="5377" width="8.85546875" style="23"/>
    <col min="5378" max="5378" width="5.140625" style="23" customWidth="1"/>
    <col min="5379" max="5379" width="52.7109375" style="23" customWidth="1"/>
    <col min="5380" max="5381" width="18.7109375" style="23" customWidth="1"/>
    <col min="5382" max="5383" width="17.5703125" style="23" customWidth="1"/>
    <col min="5384" max="5384" width="16.85546875" style="23" customWidth="1"/>
    <col min="5385" max="5633" width="8.85546875" style="23"/>
    <col min="5634" max="5634" width="5.140625" style="23" customWidth="1"/>
    <col min="5635" max="5635" width="52.7109375" style="23" customWidth="1"/>
    <col min="5636" max="5637" width="18.7109375" style="23" customWidth="1"/>
    <col min="5638" max="5639" width="17.5703125" style="23" customWidth="1"/>
    <col min="5640" max="5640" width="16.85546875" style="23" customWidth="1"/>
    <col min="5641" max="5889" width="8.85546875" style="23"/>
    <col min="5890" max="5890" width="5.140625" style="23" customWidth="1"/>
    <col min="5891" max="5891" width="52.7109375" style="23" customWidth="1"/>
    <col min="5892" max="5893" width="18.7109375" style="23" customWidth="1"/>
    <col min="5894" max="5895" width="17.5703125" style="23" customWidth="1"/>
    <col min="5896" max="5896" width="16.85546875" style="23" customWidth="1"/>
    <col min="5897" max="6145" width="8.85546875" style="23"/>
    <col min="6146" max="6146" width="5.140625" style="23" customWidth="1"/>
    <col min="6147" max="6147" width="52.7109375" style="23" customWidth="1"/>
    <col min="6148" max="6149" width="18.7109375" style="23" customWidth="1"/>
    <col min="6150" max="6151" width="17.5703125" style="23" customWidth="1"/>
    <col min="6152" max="6152" width="16.85546875" style="23" customWidth="1"/>
    <col min="6153" max="6401" width="8.85546875" style="23"/>
    <col min="6402" max="6402" width="5.140625" style="23" customWidth="1"/>
    <col min="6403" max="6403" width="52.7109375" style="23" customWidth="1"/>
    <col min="6404" max="6405" width="18.7109375" style="23" customWidth="1"/>
    <col min="6406" max="6407" width="17.5703125" style="23" customWidth="1"/>
    <col min="6408" max="6408" width="16.85546875" style="23" customWidth="1"/>
    <col min="6409" max="6657" width="8.85546875" style="23"/>
    <col min="6658" max="6658" width="5.140625" style="23" customWidth="1"/>
    <col min="6659" max="6659" width="52.7109375" style="23" customWidth="1"/>
    <col min="6660" max="6661" width="18.7109375" style="23" customWidth="1"/>
    <col min="6662" max="6663" width="17.5703125" style="23" customWidth="1"/>
    <col min="6664" max="6664" width="16.85546875" style="23" customWidth="1"/>
    <col min="6665" max="6913" width="8.85546875" style="23"/>
    <col min="6914" max="6914" width="5.140625" style="23" customWidth="1"/>
    <col min="6915" max="6915" width="52.7109375" style="23" customWidth="1"/>
    <col min="6916" max="6917" width="18.7109375" style="23" customWidth="1"/>
    <col min="6918" max="6919" width="17.5703125" style="23" customWidth="1"/>
    <col min="6920" max="6920" width="16.85546875" style="23" customWidth="1"/>
    <col min="6921" max="7169" width="8.85546875" style="23"/>
    <col min="7170" max="7170" width="5.140625" style="23" customWidth="1"/>
    <col min="7171" max="7171" width="52.7109375" style="23" customWidth="1"/>
    <col min="7172" max="7173" width="18.7109375" style="23" customWidth="1"/>
    <col min="7174" max="7175" width="17.5703125" style="23" customWidth="1"/>
    <col min="7176" max="7176" width="16.85546875" style="23" customWidth="1"/>
    <col min="7177" max="7425" width="8.85546875" style="23"/>
    <col min="7426" max="7426" width="5.140625" style="23" customWidth="1"/>
    <col min="7427" max="7427" width="52.7109375" style="23" customWidth="1"/>
    <col min="7428" max="7429" width="18.7109375" style="23" customWidth="1"/>
    <col min="7430" max="7431" width="17.5703125" style="23" customWidth="1"/>
    <col min="7432" max="7432" width="16.85546875" style="23" customWidth="1"/>
    <col min="7433" max="7681" width="8.85546875" style="23"/>
    <col min="7682" max="7682" width="5.140625" style="23" customWidth="1"/>
    <col min="7683" max="7683" width="52.7109375" style="23" customWidth="1"/>
    <col min="7684" max="7685" width="18.7109375" style="23" customWidth="1"/>
    <col min="7686" max="7687" width="17.5703125" style="23" customWidth="1"/>
    <col min="7688" max="7688" width="16.85546875" style="23" customWidth="1"/>
    <col min="7689" max="7937" width="8.85546875" style="23"/>
    <col min="7938" max="7938" width="5.140625" style="23" customWidth="1"/>
    <col min="7939" max="7939" width="52.7109375" style="23" customWidth="1"/>
    <col min="7940" max="7941" width="18.7109375" style="23" customWidth="1"/>
    <col min="7942" max="7943" width="17.5703125" style="23" customWidth="1"/>
    <col min="7944" max="7944" width="16.85546875" style="23" customWidth="1"/>
    <col min="7945" max="8193" width="8.85546875" style="23"/>
    <col min="8194" max="8194" width="5.140625" style="23" customWidth="1"/>
    <col min="8195" max="8195" width="52.7109375" style="23" customWidth="1"/>
    <col min="8196" max="8197" width="18.7109375" style="23" customWidth="1"/>
    <col min="8198" max="8199" width="17.5703125" style="23" customWidth="1"/>
    <col min="8200" max="8200" width="16.85546875" style="23" customWidth="1"/>
    <col min="8201" max="8449" width="8.85546875" style="23"/>
    <col min="8450" max="8450" width="5.140625" style="23" customWidth="1"/>
    <col min="8451" max="8451" width="52.7109375" style="23" customWidth="1"/>
    <col min="8452" max="8453" width="18.7109375" style="23" customWidth="1"/>
    <col min="8454" max="8455" width="17.5703125" style="23" customWidth="1"/>
    <col min="8456" max="8456" width="16.85546875" style="23" customWidth="1"/>
    <col min="8457" max="8705" width="8.85546875" style="23"/>
    <col min="8706" max="8706" width="5.140625" style="23" customWidth="1"/>
    <col min="8707" max="8707" width="52.7109375" style="23" customWidth="1"/>
    <col min="8708" max="8709" width="18.7109375" style="23" customWidth="1"/>
    <col min="8710" max="8711" width="17.5703125" style="23" customWidth="1"/>
    <col min="8712" max="8712" width="16.85546875" style="23" customWidth="1"/>
    <col min="8713" max="8961" width="8.85546875" style="23"/>
    <col min="8962" max="8962" width="5.140625" style="23" customWidth="1"/>
    <col min="8963" max="8963" width="52.7109375" style="23" customWidth="1"/>
    <col min="8964" max="8965" width="18.7109375" style="23" customWidth="1"/>
    <col min="8966" max="8967" width="17.5703125" style="23" customWidth="1"/>
    <col min="8968" max="8968" width="16.85546875" style="23" customWidth="1"/>
    <col min="8969" max="9217" width="8.85546875" style="23"/>
    <col min="9218" max="9218" width="5.140625" style="23" customWidth="1"/>
    <col min="9219" max="9219" width="52.7109375" style="23" customWidth="1"/>
    <col min="9220" max="9221" width="18.7109375" style="23" customWidth="1"/>
    <col min="9222" max="9223" width="17.5703125" style="23" customWidth="1"/>
    <col min="9224" max="9224" width="16.85546875" style="23" customWidth="1"/>
    <col min="9225" max="9473" width="8.85546875" style="23"/>
    <col min="9474" max="9474" width="5.140625" style="23" customWidth="1"/>
    <col min="9475" max="9475" width="52.7109375" style="23" customWidth="1"/>
    <col min="9476" max="9477" width="18.7109375" style="23" customWidth="1"/>
    <col min="9478" max="9479" width="17.5703125" style="23" customWidth="1"/>
    <col min="9480" max="9480" width="16.85546875" style="23" customWidth="1"/>
    <col min="9481" max="9729" width="8.85546875" style="23"/>
    <col min="9730" max="9730" width="5.140625" style="23" customWidth="1"/>
    <col min="9731" max="9731" width="52.7109375" style="23" customWidth="1"/>
    <col min="9732" max="9733" width="18.7109375" style="23" customWidth="1"/>
    <col min="9734" max="9735" width="17.5703125" style="23" customWidth="1"/>
    <col min="9736" max="9736" width="16.85546875" style="23" customWidth="1"/>
    <col min="9737" max="9985" width="8.85546875" style="23"/>
    <col min="9986" max="9986" width="5.140625" style="23" customWidth="1"/>
    <col min="9987" max="9987" width="52.7109375" style="23" customWidth="1"/>
    <col min="9988" max="9989" width="18.7109375" style="23" customWidth="1"/>
    <col min="9990" max="9991" width="17.5703125" style="23" customWidth="1"/>
    <col min="9992" max="9992" width="16.85546875" style="23" customWidth="1"/>
    <col min="9993" max="10241" width="8.85546875" style="23"/>
    <col min="10242" max="10242" width="5.140625" style="23" customWidth="1"/>
    <col min="10243" max="10243" width="52.7109375" style="23" customWidth="1"/>
    <col min="10244" max="10245" width="18.7109375" style="23" customWidth="1"/>
    <col min="10246" max="10247" width="17.5703125" style="23" customWidth="1"/>
    <col min="10248" max="10248" width="16.85546875" style="23" customWidth="1"/>
    <col min="10249" max="10497" width="8.85546875" style="23"/>
    <col min="10498" max="10498" width="5.140625" style="23" customWidth="1"/>
    <col min="10499" max="10499" width="52.7109375" style="23" customWidth="1"/>
    <col min="10500" max="10501" width="18.7109375" style="23" customWidth="1"/>
    <col min="10502" max="10503" width="17.5703125" style="23" customWidth="1"/>
    <col min="10504" max="10504" width="16.85546875" style="23" customWidth="1"/>
    <col min="10505" max="10753" width="8.85546875" style="23"/>
    <col min="10754" max="10754" width="5.140625" style="23" customWidth="1"/>
    <col min="10755" max="10755" width="52.7109375" style="23" customWidth="1"/>
    <col min="10756" max="10757" width="18.7109375" style="23" customWidth="1"/>
    <col min="10758" max="10759" width="17.5703125" style="23" customWidth="1"/>
    <col min="10760" max="10760" width="16.85546875" style="23" customWidth="1"/>
    <col min="10761" max="11009" width="8.85546875" style="23"/>
    <col min="11010" max="11010" width="5.140625" style="23" customWidth="1"/>
    <col min="11011" max="11011" width="52.7109375" style="23" customWidth="1"/>
    <col min="11012" max="11013" width="18.7109375" style="23" customWidth="1"/>
    <col min="11014" max="11015" width="17.5703125" style="23" customWidth="1"/>
    <col min="11016" max="11016" width="16.85546875" style="23" customWidth="1"/>
    <col min="11017" max="11265" width="8.85546875" style="23"/>
    <col min="11266" max="11266" width="5.140625" style="23" customWidth="1"/>
    <col min="11267" max="11267" width="52.7109375" style="23" customWidth="1"/>
    <col min="11268" max="11269" width="18.7109375" style="23" customWidth="1"/>
    <col min="11270" max="11271" width="17.5703125" style="23" customWidth="1"/>
    <col min="11272" max="11272" width="16.85546875" style="23" customWidth="1"/>
    <col min="11273" max="11521" width="8.85546875" style="23"/>
    <col min="11522" max="11522" width="5.140625" style="23" customWidth="1"/>
    <col min="11523" max="11523" width="52.7109375" style="23" customWidth="1"/>
    <col min="11524" max="11525" width="18.7109375" style="23" customWidth="1"/>
    <col min="11526" max="11527" width="17.5703125" style="23" customWidth="1"/>
    <col min="11528" max="11528" width="16.85546875" style="23" customWidth="1"/>
    <col min="11529" max="11777" width="8.85546875" style="23"/>
    <col min="11778" max="11778" width="5.140625" style="23" customWidth="1"/>
    <col min="11779" max="11779" width="52.7109375" style="23" customWidth="1"/>
    <col min="11780" max="11781" width="18.7109375" style="23" customWidth="1"/>
    <col min="11782" max="11783" width="17.5703125" style="23" customWidth="1"/>
    <col min="11784" max="11784" width="16.85546875" style="23" customWidth="1"/>
    <col min="11785" max="12033" width="8.85546875" style="23"/>
    <col min="12034" max="12034" width="5.140625" style="23" customWidth="1"/>
    <col min="12035" max="12035" width="52.7109375" style="23" customWidth="1"/>
    <col min="12036" max="12037" width="18.7109375" style="23" customWidth="1"/>
    <col min="12038" max="12039" width="17.5703125" style="23" customWidth="1"/>
    <col min="12040" max="12040" width="16.85546875" style="23" customWidth="1"/>
    <col min="12041" max="12289" width="8.85546875" style="23"/>
    <col min="12290" max="12290" width="5.140625" style="23" customWidth="1"/>
    <col min="12291" max="12291" width="52.7109375" style="23" customWidth="1"/>
    <col min="12292" max="12293" width="18.7109375" style="23" customWidth="1"/>
    <col min="12294" max="12295" width="17.5703125" style="23" customWidth="1"/>
    <col min="12296" max="12296" width="16.85546875" style="23" customWidth="1"/>
    <col min="12297" max="12545" width="8.85546875" style="23"/>
    <col min="12546" max="12546" width="5.140625" style="23" customWidth="1"/>
    <col min="12547" max="12547" width="52.7109375" style="23" customWidth="1"/>
    <col min="12548" max="12549" width="18.7109375" style="23" customWidth="1"/>
    <col min="12550" max="12551" width="17.5703125" style="23" customWidth="1"/>
    <col min="12552" max="12552" width="16.85546875" style="23" customWidth="1"/>
    <col min="12553" max="12801" width="8.85546875" style="23"/>
    <col min="12802" max="12802" width="5.140625" style="23" customWidth="1"/>
    <col min="12803" max="12803" width="52.7109375" style="23" customWidth="1"/>
    <col min="12804" max="12805" width="18.7109375" style="23" customWidth="1"/>
    <col min="12806" max="12807" width="17.5703125" style="23" customWidth="1"/>
    <col min="12808" max="12808" width="16.85546875" style="23" customWidth="1"/>
    <col min="12809" max="13057" width="8.85546875" style="23"/>
    <col min="13058" max="13058" width="5.140625" style="23" customWidth="1"/>
    <col min="13059" max="13059" width="52.7109375" style="23" customWidth="1"/>
    <col min="13060" max="13061" width="18.7109375" style="23" customWidth="1"/>
    <col min="13062" max="13063" width="17.5703125" style="23" customWidth="1"/>
    <col min="13064" max="13064" width="16.85546875" style="23" customWidth="1"/>
    <col min="13065" max="13313" width="8.85546875" style="23"/>
    <col min="13314" max="13314" width="5.140625" style="23" customWidth="1"/>
    <col min="13315" max="13315" width="52.7109375" style="23" customWidth="1"/>
    <col min="13316" max="13317" width="18.7109375" style="23" customWidth="1"/>
    <col min="13318" max="13319" width="17.5703125" style="23" customWidth="1"/>
    <col min="13320" max="13320" width="16.85546875" style="23" customWidth="1"/>
    <col min="13321" max="13569" width="8.85546875" style="23"/>
    <col min="13570" max="13570" width="5.140625" style="23" customWidth="1"/>
    <col min="13571" max="13571" width="52.7109375" style="23" customWidth="1"/>
    <col min="13572" max="13573" width="18.7109375" style="23" customWidth="1"/>
    <col min="13574" max="13575" width="17.5703125" style="23" customWidth="1"/>
    <col min="13576" max="13576" width="16.85546875" style="23" customWidth="1"/>
    <col min="13577" max="13825" width="8.85546875" style="23"/>
    <col min="13826" max="13826" width="5.140625" style="23" customWidth="1"/>
    <col min="13827" max="13827" width="52.7109375" style="23" customWidth="1"/>
    <col min="13828" max="13829" width="18.7109375" style="23" customWidth="1"/>
    <col min="13830" max="13831" width="17.5703125" style="23" customWidth="1"/>
    <col min="13832" max="13832" width="16.85546875" style="23" customWidth="1"/>
    <col min="13833" max="14081" width="8.85546875" style="23"/>
    <col min="14082" max="14082" width="5.140625" style="23" customWidth="1"/>
    <col min="14083" max="14083" width="52.7109375" style="23" customWidth="1"/>
    <col min="14084" max="14085" width="18.7109375" style="23" customWidth="1"/>
    <col min="14086" max="14087" width="17.5703125" style="23" customWidth="1"/>
    <col min="14088" max="14088" width="16.85546875" style="23" customWidth="1"/>
    <col min="14089" max="14337" width="8.85546875" style="23"/>
    <col min="14338" max="14338" width="5.140625" style="23" customWidth="1"/>
    <col min="14339" max="14339" width="52.7109375" style="23" customWidth="1"/>
    <col min="14340" max="14341" width="18.7109375" style="23" customWidth="1"/>
    <col min="14342" max="14343" width="17.5703125" style="23" customWidth="1"/>
    <col min="14344" max="14344" width="16.85546875" style="23" customWidth="1"/>
    <col min="14345" max="14593" width="8.85546875" style="23"/>
    <col min="14594" max="14594" width="5.140625" style="23" customWidth="1"/>
    <col min="14595" max="14595" width="52.7109375" style="23" customWidth="1"/>
    <col min="14596" max="14597" width="18.7109375" style="23" customWidth="1"/>
    <col min="14598" max="14599" width="17.5703125" style="23" customWidth="1"/>
    <col min="14600" max="14600" width="16.85546875" style="23" customWidth="1"/>
    <col min="14601" max="14849" width="8.85546875" style="23"/>
    <col min="14850" max="14850" width="5.140625" style="23" customWidth="1"/>
    <col min="14851" max="14851" width="52.7109375" style="23" customWidth="1"/>
    <col min="14852" max="14853" width="18.7109375" style="23" customWidth="1"/>
    <col min="14854" max="14855" width="17.5703125" style="23" customWidth="1"/>
    <col min="14856" max="14856" width="16.85546875" style="23" customWidth="1"/>
    <col min="14857" max="15105" width="8.85546875" style="23"/>
    <col min="15106" max="15106" width="5.140625" style="23" customWidth="1"/>
    <col min="15107" max="15107" width="52.7109375" style="23" customWidth="1"/>
    <col min="15108" max="15109" width="18.7109375" style="23" customWidth="1"/>
    <col min="15110" max="15111" width="17.5703125" style="23" customWidth="1"/>
    <col min="15112" max="15112" width="16.85546875" style="23" customWidth="1"/>
    <col min="15113" max="15361" width="8.85546875" style="23"/>
    <col min="15362" max="15362" width="5.140625" style="23" customWidth="1"/>
    <col min="15363" max="15363" width="52.7109375" style="23" customWidth="1"/>
    <col min="15364" max="15365" width="18.7109375" style="23" customWidth="1"/>
    <col min="15366" max="15367" width="17.5703125" style="23" customWidth="1"/>
    <col min="15368" max="15368" width="16.85546875" style="23" customWidth="1"/>
    <col min="15369" max="15617" width="8.85546875" style="23"/>
    <col min="15618" max="15618" width="5.140625" style="23" customWidth="1"/>
    <col min="15619" max="15619" width="52.7109375" style="23" customWidth="1"/>
    <col min="15620" max="15621" width="18.7109375" style="23" customWidth="1"/>
    <col min="15622" max="15623" width="17.5703125" style="23" customWidth="1"/>
    <col min="15624" max="15624" width="16.85546875" style="23" customWidth="1"/>
    <col min="15625" max="15873" width="8.85546875" style="23"/>
    <col min="15874" max="15874" width="5.140625" style="23" customWidth="1"/>
    <col min="15875" max="15875" width="52.7109375" style="23" customWidth="1"/>
    <col min="15876" max="15877" width="18.7109375" style="23" customWidth="1"/>
    <col min="15878" max="15879" width="17.5703125" style="23" customWidth="1"/>
    <col min="15880" max="15880" width="16.85546875" style="23" customWidth="1"/>
    <col min="15881" max="16129" width="8.85546875" style="23"/>
    <col min="16130" max="16130" width="5.140625" style="23" customWidth="1"/>
    <col min="16131" max="16131" width="52.7109375" style="23" customWidth="1"/>
    <col min="16132" max="16133" width="18.7109375" style="23" customWidth="1"/>
    <col min="16134" max="16135" width="17.5703125" style="23" customWidth="1"/>
    <col min="16136" max="16136" width="16.85546875" style="23" customWidth="1"/>
    <col min="16137" max="16384" width="8.85546875" style="23"/>
  </cols>
  <sheetData>
    <row r="1" spans="1:8">
      <c r="G1" s="97" t="s">
        <v>38</v>
      </c>
      <c r="H1" s="97"/>
    </row>
    <row r="2" spans="1:8">
      <c r="G2" s="97" t="s">
        <v>29</v>
      </c>
      <c r="H2" s="97"/>
    </row>
    <row r="3" spans="1:8">
      <c r="G3" s="97" t="s">
        <v>30</v>
      </c>
      <c r="H3" s="97"/>
    </row>
    <row r="4" spans="1:8">
      <c r="G4" s="97" t="s">
        <v>170</v>
      </c>
      <c r="H4" s="97"/>
    </row>
    <row r="5" spans="1:8">
      <c r="G5" s="49"/>
      <c r="H5" s="49"/>
    </row>
    <row r="6" spans="1:8">
      <c r="A6" s="122" t="s">
        <v>98</v>
      </c>
      <c r="B6" s="122"/>
      <c r="C6" s="122"/>
      <c r="D6" s="122"/>
      <c r="E6" s="122"/>
      <c r="F6" s="122"/>
      <c r="G6" s="122"/>
      <c r="H6" s="122"/>
    </row>
    <row r="8" spans="1:8" s="3" customFormat="1" ht="13.15" customHeight="1">
      <c r="A8" s="109" t="s">
        <v>7</v>
      </c>
      <c r="B8" s="112" t="s">
        <v>0</v>
      </c>
      <c r="C8" s="124" t="s">
        <v>1</v>
      </c>
      <c r="D8" s="124" t="s">
        <v>89</v>
      </c>
      <c r="E8" s="127" t="s">
        <v>5</v>
      </c>
      <c r="F8" s="128"/>
      <c r="G8" s="129"/>
      <c r="H8" s="112" t="s">
        <v>6</v>
      </c>
    </row>
    <row r="9" spans="1:8" s="3" customFormat="1" ht="38.25">
      <c r="A9" s="110"/>
      <c r="B9" s="112"/>
      <c r="C9" s="125"/>
      <c r="D9" s="125"/>
      <c r="E9" s="50" t="s">
        <v>9</v>
      </c>
      <c r="F9" s="53" t="s">
        <v>8</v>
      </c>
      <c r="G9" s="103" t="s">
        <v>87</v>
      </c>
      <c r="H9" s="112"/>
    </row>
    <row r="10" spans="1:8" s="3" customFormat="1" ht="25.5">
      <c r="A10" s="111"/>
      <c r="B10" s="112"/>
      <c r="C10" s="126"/>
      <c r="D10" s="126"/>
      <c r="E10" s="53" t="s">
        <v>96</v>
      </c>
      <c r="F10" s="53" t="s">
        <v>96</v>
      </c>
      <c r="G10" s="105"/>
      <c r="H10" s="112"/>
    </row>
    <row r="11" spans="1:8" s="3" customFormat="1">
      <c r="A11" s="130" t="s">
        <v>67</v>
      </c>
      <c r="B11" s="131"/>
      <c r="C11" s="131"/>
      <c r="D11" s="131"/>
      <c r="E11" s="131"/>
      <c r="F11" s="131"/>
      <c r="G11" s="131"/>
      <c r="H11" s="132"/>
    </row>
    <row r="12" spans="1:8">
      <c r="A12" s="7">
        <v>1</v>
      </c>
      <c r="B12" s="10" t="s">
        <v>76</v>
      </c>
      <c r="C12" s="53">
        <v>20</v>
      </c>
      <c r="D12" s="69">
        <v>1</v>
      </c>
      <c r="E12" s="24">
        <f>(C12+D12)*91*5</f>
        <v>9555</v>
      </c>
      <c r="F12" s="24"/>
      <c r="G12" s="24">
        <f>C12*300</f>
        <v>6000</v>
      </c>
      <c r="H12" s="9">
        <f>E12+F12+G12</f>
        <v>15555</v>
      </c>
    </row>
    <row r="13" spans="1:8">
      <c r="A13" s="7"/>
      <c r="B13" s="10"/>
      <c r="C13" s="25"/>
      <c r="D13" s="25"/>
      <c r="E13" s="26"/>
      <c r="F13" s="26"/>
      <c r="G13" s="26"/>
      <c r="H13" s="9"/>
    </row>
    <row r="14" spans="1:8">
      <c r="A14" s="18"/>
      <c r="B14" s="19" t="s">
        <v>6</v>
      </c>
      <c r="C14" s="27">
        <f t="shared" ref="C14:H14" si="0">C12</f>
        <v>20</v>
      </c>
      <c r="D14" s="27">
        <f t="shared" si="0"/>
        <v>1</v>
      </c>
      <c r="E14" s="28">
        <f t="shared" si="0"/>
        <v>9555</v>
      </c>
      <c r="F14" s="28">
        <f t="shared" si="0"/>
        <v>0</v>
      </c>
      <c r="G14" s="28">
        <f t="shared" si="0"/>
        <v>6000</v>
      </c>
      <c r="H14" s="21">
        <f t="shared" si="0"/>
        <v>15555</v>
      </c>
    </row>
    <row r="16" spans="1:8" ht="12.75" customHeight="1">
      <c r="A16" s="101" t="s">
        <v>33</v>
      </c>
      <c r="B16" s="101"/>
      <c r="C16" s="101"/>
      <c r="D16" s="101"/>
      <c r="E16" s="101"/>
      <c r="F16" s="101"/>
      <c r="G16" s="101"/>
      <c r="H16" s="101"/>
    </row>
    <row r="17" spans="1:8" ht="13.15" customHeight="1">
      <c r="A17" s="100" t="s">
        <v>99</v>
      </c>
      <c r="B17" s="100"/>
      <c r="C17" s="100"/>
      <c r="D17" s="100"/>
      <c r="E17" s="100"/>
      <c r="F17" s="100"/>
      <c r="G17" s="100"/>
      <c r="H17" s="100"/>
    </row>
    <row r="18" spans="1:8">
      <c r="A18" s="100"/>
      <c r="B18" s="100"/>
      <c r="C18" s="100"/>
      <c r="D18" s="100"/>
      <c r="E18" s="100"/>
      <c r="F18" s="100"/>
      <c r="G18" s="100"/>
      <c r="H18" s="100"/>
    </row>
    <row r="19" spans="1:8" ht="12.75" customHeight="1">
      <c r="A19" s="133" t="s">
        <v>100</v>
      </c>
      <c r="B19" s="133"/>
      <c r="C19" s="133"/>
      <c r="D19" s="133"/>
      <c r="E19" s="133"/>
      <c r="F19" s="133"/>
      <c r="G19" s="133"/>
      <c r="H19" s="133"/>
    </row>
    <row r="20" spans="1:8" ht="13.15" customHeight="1">
      <c r="A20" s="100" t="s">
        <v>95</v>
      </c>
      <c r="B20" s="100"/>
      <c r="C20" s="100"/>
      <c r="D20" s="100"/>
      <c r="E20" s="100"/>
      <c r="F20" s="100"/>
      <c r="G20" s="100"/>
      <c r="H20" s="100"/>
    </row>
    <row r="21" spans="1:8">
      <c r="A21" s="101" t="s">
        <v>34</v>
      </c>
      <c r="B21" s="101"/>
      <c r="C21" s="101"/>
      <c r="D21" s="101"/>
      <c r="E21" s="101"/>
      <c r="F21" s="101"/>
      <c r="G21" s="101"/>
      <c r="H21" s="101"/>
    </row>
    <row r="22" spans="1:8">
      <c r="A22" s="101" t="s">
        <v>71</v>
      </c>
      <c r="B22" s="101"/>
      <c r="C22" s="101"/>
      <c r="D22" s="101"/>
      <c r="E22" s="101"/>
      <c r="F22" s="101"/>
      <c r="G22" s="101"/>
      <c r="H22" s="101"/>
    </row>
    <row r="23" spans="1:8">
      <c r="A23" s="101" t="s">
        <v>39</v>
      </c>
      <c r="B23" s="101"/>
      <c r="C23" s="101"/>
      <c r="D23" s="101"/>
      <c r="E23" s="101"/>
      <c r="F23" s="101"/>
      <c r="G23" s="101"/>
      <c r="H23" s="101"/>
    </row>
    <row r="24" spans="1:8">
      <c r="A24" s="101" t="s">
        <v>97</v>
      </c>
      <c r="B24" s="101"/>
      <c r="C24" s="101"/>
      <c r="D24" s="101"/>
      <c r="E24" s="101"/>
      <c r="F24" s="101"/>
      <c r="G24" s="101"/>
      <c r="H24" s="101"/>
    </row>
    <row r="25" spans="1:8" ht="12.75" customHeight="1">
      <c r="A25" s="100" t="s">
        <v>41</v>
      </c>
      <c r="B25" s="100"/>
      <c r="C25" s="100"/>
      <c r="D25" s="100"/>
      <c r="E25" s="100"/>
      <c r="F25" s="100"/>
      <c r="G25" s="100"/>
      <c r="H25" s="100"/>
    </row>
  </sheetData>
  <mergeCells count="22">
    <mergeCell ref="D8:D10"/>
    <mergeCell ref="A21:H21"/>
    <mergeCell ref="A22:H22"/>
    <mergeCell ref="A23:H23"/>
    <mergeCell ref="A24:H24"/>
    <mergeCell ref="A19:H19"/>
    <mergeCell ref="A25:H25"/>
    <mergeCell ref="A20:H20"/>
    <mergeCell ref="G1:H1"/>
    <mergeCell ref="G2:H2"/>
    <mergeCell ref="G3:H3"/>
    <mergeCell ref="G4:H4"/>
    <mergeCell ref="A6:H6"/>
    <mergeCell ref="A8:A10"/>
    <mergeCell ref="B8:B10"/>
    <mergeCell ref="C8:C10"/>
    <mergeCell ref="E8:G8"/>
    <mergeCell ref="H8:H10"/>
    <mergeCell ref="G9:G10"/>
    <mergeCell ref="A11:H11"/>
    <mergeCell ref="A16:H16"/>
    <mergeCell ref="A17:H18"/>
  </mergeCells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tabSelected="1" view="pageBreakPreview" zoomScale="106" zoomScaleNormal="100" zoomScaleSheetLayoutView="106" workbookViewId="0">
      <selection sqref="A1:H24"/>
    </sheetView>
  </sheetViews>
  <sheetFormatPr defaultRowHeight="12.75"/>
  <cols>
    <col min="1" max="1" width="5.140625" style="23" customWidth="1"/>
    <col min="2" max="2" width="40.42578125" style="23" customWidth="1"/>
    <col min="3" max="3" width="9.140625" style="23" customWidth="1"/>
    <col min="4" max="4" width="11.85546875" style="23" customWidth="1"/>
    <col min="5" max="5" width="13.85546875" style="23" customWidth="1"/>
    <col min="6" max="6" width="15.7109375" style="23" customWidth="1"/>
    <col min="7" max="7" width="14.42578125" style="23" customWidth="1"/>
    <col min="8" max="8" width="16.85546875" style="23" customWidth="1"/>
    <col min="9" max="257" width="8.85546875" style="23"/>
    <col min="258" max="258" width="5.140625" style="23" customWidth="1"/>
    <col min="259" max="259" width="52.7109375" style="23" customWidth="1"/>
    <col min="260" max="261" width="18.7109375" style="23" customWidth="1"/>
    <col min="262" max="263" width="17.5703125" style="23" customWidth="1"/>
    <col min="264" max="264" width="16.85546875" style="23" customWidth="1"/>
    <col min="265" max="513" width="8.85546875" style="23"/>
    <col min="514" max="514" width="5.140625" style="23" customWidth="1"/>
    <col min="515" max="515" width="52.7109375" style="23" customWidth="1"/>
    <col min="516" max="517" width="18.7109375" style="23" customWidth="1"/>
    <col min="518" max="519" width="17.5703125" style="23" customWidth="1"/>
    <col min="520" max="520" width="16.85546875" style="23" customWidth="1"/>
    <col min="521" max="769" width="8.85546875" style="23"/>
    <col min="770" max="770" width="5.140625" style="23" customWidth="1"/>
    <col min="771" max="771" width="52.7109375" style="23" customWidth="1"/>
    <col min="772" max="773" width="18.7109375" style="23" customWidth="1"/>
    <col min="774" max="775" width="17.5703125" style="23" customWidth="1"/>
    <col min="776" max="776" width="16.85546875" style="23" customWidth="1"/>
    <col min="777" max="1025" width="8.85546875" style="23"/>
    <col min="1026" max="1026" width="5.140625" style="23" customWidth="1"/>
    <col min="1027" max="1027" width="52.7109375" style="23" customWidth="1"/>
    <col min="1028" max="1029" width="18.7109375" style="23" customWidth="1"/>
    <col min="1030" max="1031" width="17.5703125" style="23" customWidth="1"/>
    <col min="1032" max="1032" width="16.85546875" style="23" customWidth="1"/>
    <col min="1033" max="1281" width="8.85546875" style="23"/>
    <col min="1282" max="1282" width="5.140625" style="23" customWidth="1"/>
    <col min="1283" max="1283" width="52.7109375" style="23" customWidth="1"/>
    <col min="1284" max="1285" width="18.7109375" style="23" customWidth="1"/>
    <col min="1286" max="1287" width="17.5703125" style="23" customWidth="1"/>
    <col min="1288" max="1288" width="16.85546875" style="23" customWidth="1"/>
    <col min="1289" max="1537" width="8.85546875" style="23"/>
    <col min="1538" max="1538" width="5.140625" style="23" customWidth="1"/>
    <col min="1539" max="1539" width="52.7109375" style="23" customWidth="1"/>
    <col min="1540" max="1541" width="18.7109375" style="23" customWidth="1"/>
    <col min="1542" max="1543" width="17.5703125" style="23" customWidth="1"/>
    <col min="1544" max="1544" width="16.85546875" style="23" customWidth="1"/>
    <col min="1545" max="1793" width="8.85546875" style="23"/>
    <col min="1794" max="1794" width="5.140625" style="23" customWidth="1"/>
    <col min="1795" max="1795" width="52.7109375" style="23" customWidth="1"/>
    <col min="1796" max="1797" width="18.7109375" style="23" customWidth="1"/>
    <col min="1798" max="1799" width="17.5703125" style="23" customWidth="1"/>
    <col min="1800" max="1800" width="16.85546875" style="23" customWidth="1"/>
    <col min="1801" max="2049" width="8.85546875" style="23"/>
    <col min="2050" max="2050" width="5.140625" style="23" customWidth="1"/>
    <col min="2051" max="2051" width="52.7109375" style="23" customWidth="1"/>
    <col min="2052" max="2053" width="18.7109375" style="23" customWidth="1"/>
    <col min="2054" max="2055" width="17.5703125" style="23" customWidth="1"/>
    <col min="2056" max="2056" width="16.85546875" style="23" customWidth="1"/>
    <col min="2057" max="2305" width="8.85546875" style="23"/>
    <col min="2306" max="2306" width="5.140625" style="23" customWidth="1"/>
    <col min="2307" max="2307" width="52.7109375" style="23" customWidth="1"/>
    <col min="2308" max="2309" width="18.7109375" style="23" customWidth="1"/>
    <col min="2310" max="2311" width="17.5703125" style="23" customWidth="1"/>
    <col min="2312" max="2312" width="16.85546875" style="23" customWidth="1"/>
    <col min="2313" max="2561" width="8.85546875" style="23"/>
    <col min="2562" max="2562" width="5.140625" style="23" customWidth="1"/>
    <col min="2563" max="2563" width="52.7109375" style="23" customWidth="1"/>
    <col min="2564" max="2565" width="18.7109375" style="23" customWidth="1"/>
    <col min="2566" max="2567" width="17.5703125" style="23" customWidth="1"/>
    <col min="2568" max="2568" width="16.85546875" style="23" customWidth="1"/>
    <col min="2569" max="2817" width="8.85546875" style="23"/>
    <col min="2818" max="2818" width="5.140625" style="23" customWidth="1"/>
    <col min="2819" max="2819" width="52.7109375" style="23" customWidth="1"/>
    <col min="2820" max="2821" width="18.7109375" style="23" customWidth="1"/>
    <col min="2822" max="2823" width="17.5703125" style="23" customWidth="1"/>
    <col min="2824" max="2824" width="16.85546875" style="23" customWidth="1"/>
    <col min="2825" max="3073" width="8.85546875" style="23"/>
    <col min="3074" max="3074" width="5.140625" style="23" customWidth="1"/>
    <col min="3075" max="3075" width="52.7109375" style="23" customWidth="1"/>
    <col min="3076" max="3077" width="18.7109375" style="23" customWidth="1"/>
    <col min="3078" max="3079" width="17.5703125" style="23" customWidth="1"/>
    <col min="3080" max="3080" width="16.85546875" style="23" customWidth="1"/>
    <col min="3081" max="3329" width="8.85546875" style="23"/>
    <col min="3330" max="3330" width="5.140625" style="23" customWidth="1"/>
    <col min="3331" max="3331" width="52.7109375" style="23" customWidth="1"/>
    <col min="3332" max="3333" width="18.7109375" style="23" customWidth="1"/>
    <col min="3334" max="3335" width="17.5703125" style="23" customWidth="1"/>
    <col min="3336" max="3336" width="16.85546875" style="23" customWidth="1"/>
    <col min="3337" max="3585" width="8.85546875" style="23"/>
    <col min="3586" max="3586" width="5.140625" style="23" customWidth="1"/>
    <col min="3587" max="3587" width="52.7109375" style="23" customWidth="1"/>
    <col min="3588" max="3589" width="18.7109375" style="23" customWidth="1"/>
    <col min="3590" max="3591" width="17.5703125" style="23" customWidth="1"/>
    <col min="3592" max="3592" width="16.85546875" style="23" customWidth="1"/>
    <col min="3593" max="3841" width="8.85546875" style="23"/>
    <col min="3842" max="3842" width="5.140625" style="23" customWidth="1"/>
    <col min="3843" max="3843" width="52.7109375" style="23" customWidth="1"/>
    <col min="3844" max="3845" width="18.7109375" style="23" customWidth="1"/>
    <col min="3846" max="3847" width="17.5703125" style="23" customWidth="1"/>
    <col min="3848" max="3848" width="16.85546875" style="23" customWidth="1"/>
    <col min="3849" max="4097" width="8.85546875" style="23"/>
    <col min="4098" max="4098" width="5.140625" style="23" customWidth="1"/>
    <col min="4099" max="4099" width="52.7109375" style="23" customWidth="1"/>
    <col min="4100" max="4101" width="18.7109375" style="23" customWidth="1"/>
    <col min="4102" max="4103" width="17.5703125" style="23" customWidth="1"/>
    <col min="4104" max="4104" width="16.85546875" style="23" customWidth="1"/>
    <col min="4105" max="4353" width="8.85546875" style="23"/>
    <col min="4354" max="4354" width="5.140625" style="23" customWidth="1"/>
    <col min="4355" max="4355" width="52.7109375" style="23" customWidth="1"/>
    <col min="4356" max="4357" width="18.7109375" style="23" customWidth="1"/>
    <col min="4358" max="4359" width="17.5703125" style="23" customWidth="1"/>
    <col min="4360" max="4360" width="16.85546875" style="23" customWidth="1"/>
    <col min="4361" max="4609" width="8.85546875" style="23"/>
    <col min="4610" max="4610" width="5.140625" style="23" customWidth="1"/>
    <col min="4611" max="4611" width="52.7109375" style="23" customWidth="1"/>
    <col min="4612" max="4613" width="18.7109375" style="23" customWidth="1"/>
    <col min="4614" max="4615" width="17.5703125" style="23" customWidth="1"/>
    <col min="4616" max="4616" width="16.85546875" style="23" customWidth="1"/>
    <col min="4617" max="4865" width="8.85546875" style="23"/>
    <col min="4866" max="4866" width="5.140625" style="23" customWidth="1"/>
    <col min="4867" max="4867" width="52.7109375" style="23" customWidth="1"/>
    <col min="4868" max="4869" width="18.7109375" style="23" customWidth="1"/>
    <col min="4870" max="4871" width="17.5703125" style="23" customWidth="1"/>
    <col min="4872" max="4872" width="16.85546875" style="23" customWidth="1"/>
    <col min="4873" max="5121" width="8.85546875" style="23"/>
    <col min="5122" max="5122" width="5.140625" style="23" customWidth="1"/>
    <col min="5123" max="5123" width="52.7109375" style="23" customWidth="1"/>
    <col min="5124" max="5125" width="18.7109375" style="23" customWidth="1"/>
    <col min="5126" max="5127" width="17.5703125" style="23" customWidth="1"/>
    <col min="5128" max="5128" width="16.85546875" style="23" customWidth="1"/>
    <col min="5129" max="5377" width="8.85546875" style="23"/>
    <col min="5378" max="5378" width="5.140625" style="23" customWidth="1"/>
    <col min="5379" max="5379" width="52.7109375" style="23" customWidth="1"/>
    <col min="5380" max="5381" width="18.7109375" style="23" customWidth="1"/>
    <col min="5382" max="5383" width="17.5703125" style="23" customWidth="1"/>
    <col min="5384" max="5384" width="16.85546875" style="23" customWidth="1"/>
    <col min="5385" max="5633" width="8.85546875" style="23"/>
    <col min="5634" max="5634" width="5.140625" style="23" customWidth="1"/>
    <col min="5635" max="5635" width="52.7109375" style="23" customWidth="1"/>
    <col min="5636" max="5637" width="18.7109375" style="23" customWidth="1"/>
    <col min="5638" max="5639" width="17.5703125" style="23" customWidth="1"/>
    <col min="5640" max="5640" width="16.85546875" style="23" customWidth="1"/>
    <col min="5641" max="5889" width="8.85546875" style="23"/>
    <col min="5890" max="5890" width="5.140625" style="23" customWidth="1"/>
    <col min="5891" max="5891" width="52.7109375" style="23" customWidth="1"/>
    <col min="5892" max="5893" width="18.7109375" style="23" customWidth="1"/>
    <col min="5894" max="5895" width="17.5703125" style="23" customWidth="1"/>
    <col min="5896" max="5896" width="16.85546875" style="23" customWidth="1"/>
    <col min="5897" max="6145" width="8.85546875" style="23"/>
    <col min="6146" max="6146" width="5.140625" style="23" customWidth="1"/>
    <col min="6147" max="6147" width="52.7109375" style="23" customWidth="1"/>
    <col min="6148" max="6149" width="18.7109375" style="23" customWidth="1"/>
    <col min="6150" max="6151" width="17.5703125" style="23" customWidth="1"/>
    <col min="6152" max="6152" width="16.85546875" style="23" customWidth="1"/>
    <col min="6153" max="6401" width="8.85546875" style="23"/>
    <col min="6402" max="6402" width="5.140625" style="23" customWidth="1"/>
    <col min="6403" max="6403" width="52.7109375" style="23" customWidth="1"/>
    <col min="6404" max="6405" width="18.7109375" style="23" customWidth="1"/>
    <col min="6406" max="6407" width="17.5703125" style="23" customWidth="1"/>
    <col min="6408" max="6408" width="16.85546875" style="23" customWidth="1"/>
    <col min="6409" max="6657" width="8.85546875" style="23"/>
    <col min="6658" max="6658" width="5.140625" style="23" customWidth="1"/>
    <col min="6659" max="6659" width="52.7109375" style="23" customWidth="1"/>
    <col min="6660" max="6661" width="18.7109375" style="23" customWidth="1"/>
    <col min="6662" max="6663" width="17.5703125" style="23" customWidth="1"/>
    <col min="6664" max="6664" width="16.85546875" style="23" customWidth="1"/>
    <col min="6665" max="6913" width="8.85546875" style="23"/>
    <col min="6914" max="6914" width="5.140625" style="23" customWidth="1"/>
    <col min="6915" max="6915" width="52.7109375" style="23" customWidth="1"/>
    <col min="6916" max="6917" width="18.7109375" style="23" customWidth="1"/>
    <col min="6918" max="6919" width="17.5703125" style="23" customWidth="1"/>
    <col min="6920" max="6920" width="16.85546875" style="23" customWidth="1"/>
    <col min="6921" max="7169" width="8.85546875" style="23"/>
    <col min="7170" max="7170" width="5.140625" style="23" customWidth="1"/>
    <col min="7171" max="7171" width="52.7109375" style="23" customWidth="1"/>
    <col min="7172" max="7173" width="18.7109375" style="23" customWidth="1"/>
    <col min="7174" max="7175" width="17.5703125" style="23" customWidth="1"/>
    <col min="7176" max="7176" width="16.85546875" style="23" customWidth="1"/>
    <col min="7177" max="7425" width="8.85546875" style="23"/>
    <col min="7426" max="7426" width="5.140625" style="23" customWidth="1"/>
    <col min="7427" max="7427" width="52.7109375" style="23" customWidth="1"/>
    <col min="7428" max="7429" width="18.7109375" style="23" customWidth="1"/>
    <col min="7430" max="7431" width="17.5703125" style="23" customWidth="1"/>
    <col min="7432" max="7432" width="16.85546875" style="23" customWidth="1"/>
    <col min="7433" max="7681" width="8.85546875" style="23"/>
    <col min="7682" max="7682" width="5.140625" style="23" customWidth="1"/>
    <col min="7683" max="7683" width="52.7109375" style="23" customWidth="1"/>
    <col min="7684" max="7685" width="18.7109375" style="23" customWidth="1"/>
    <col min="7686" max="7687" width="17.5703125" style="23" customWidth="1"/>
    <col min="7688" max="7688" width="16.85546875" style="23" customWidth="1"/>
    <col min="7689" max="7937" width="8.85546875" style="23"/>
    <col min="7938" max="7938" width="5.140625" style="23" customWidth="1"/>
    <col min="7939" max="7939" width="52.7109375" style="23" customWidth="1"/>
    <col min="7940" max="7941" width="18.7109375" style="23" customWidth="1"/>
    <col min="7942" max="7943" width="17.5703125" style="23" customWidth="1"/>
    <col min="7944" max="7944" width="16.85546875" style="23" customWidth="1"/>
    <col min="7945" max="8193" width="8.85546875" style="23"/>
    <col min="8194" max="8194" width="5.140625" style="23" customWidth="1"/>
    <col min="8195" max="8195" width="52.7109375" style="23" customWidth="1"/>
    <col min="8196" max="8197" width="18.7109375" style="23" customWidth="1"/>
    <col min="8198" max="8199" width="17.5703125" style="23" customWidth="1"/>
    <col min="8200" max="8200" width="16.85546875" style="23" customWidth="1"/>
    <col min="8201" max="8449" width="8.85546875" style="23"/>
    <col min="8450" max="8450" width="5.140625" style="23" customWidth="1"/>
    <col min="8451" max="8451" width="52.7109375" style="23" customWidth="1"/>
    <col min="8452" max="8453" width="18.7109375" style="23" customWidth="1"/>
    <col min="8454" max="8455" width="17.5703125" style="23" customWidth="1"/>
    <col min="8456" max="8456" width="16.85546875" style="23" customWidth="1"/>
    <col min="8457" max="8705" width="8.85546875" style="23"/>
    <col min="8706" max="8706" width="5.140625" style="23" customWidth="1"/>
    <col min="8707" max="8707" width="52.7109375" style="23" customWidth="1"/>
    <col min="8708" max="8709" width="18.7109375" style="23" customWidth="1"/>
    <col min="8710" max="8711" width="17.5703125" style="23" customWidth="1"/>
    <col min="8712" max="8712" width="16.85546875" style="23" customWidth="1"/>
    <col min="8713" max="8961" width="8.85546875" style="23"/>
    <col min="8962" max="8962" width="5.140625" style="23" customWidth="1"/>
    <col min="8963" max="8963" width="52.7109375" style="23" customWidth="1"/>
    <col min="8964" max="8965" width="18.7109375" style="23" customWidth="1"/>
    <col min="8966" max="8967" width="17.5703125" style="23" customWidth="1"/>
    <col min="8968" max="8968" width="16.85546875" style="23" customWidth="1"/>
    <col min="8969" max="9217" width="8.85546875" style="23"/>
    <col min="9218" max="9218" width="5.140625" style="23" customWidth="1"/>
    <col min="9219" max="9219" width="52.7109375" style="23" customWidth="1"/>
    <col min="9220" max="9221" width="18.7109375" style="23" customWidth="1"/>
    <col min="9222" max="9223" width="17.5703125" style="23" customWidth="1"/>
    <col min="9224" max="9224" width="16.85546875" style="23" customWidth="1"/>
    <col min="9225" max="9473" width="8.85546875" style="23"/>
    <col min="9474" max="9474" width="5.140625" style="23" customWidth="1"/>
    <col min="9475" max="9475" width="52.7109375" style="23" customWidth="1"/>
    <col min="9476" max="9477" width="18.7109375" style="23" customWidth="1"/>
    <col min="9478" max="9479" width="17.5703125" style="23" customWidth="1"/>
    <col min="9480" max="9480" width="16.85546875" style="23" customWidth="1"/>
    <col min="9481" max="9729" width="8.85546875" style="23"/>
    <col min="9730" max="9730" width="5.140625" style="23" customWidth="1"/>
    <col min="9731" max="9731" width="52.7109375" style="23" customWidth="1"/>
    <col min="9732" max="9733" width="18.7109375" style="23" customWidth="1"/>
    <col min="9734" max="9735" width="17.5703125" style="23" customWidth="1"/>
    <col min="9736" max="9736" width="16.85546875" style="23" customWidth="1"/>
    <col min="9737" max="9985" width="8.85546875" style="23"/>
    <col min="9986" max="9986" width="5.140625" style="23" customWidth="1"/>
    <col min="9987" max="9987" width="52.7109375" style="23" customWidth="1"/>
    <col min="9988" max="9989" width="18.7109375" style="23" customWidth="1"/>
    <col min="9990" max="9991" width="17.5703125" style="23" customWidth="1"/>
    <col min="9992" max="9992" width="16.85546875" style="23" customWidth="1"/>
    <col min="9993" max="10241" width="8.85546875" style="23"/>
    <col min="10242" max="10242" width="5.140625" style="23" customWidth="1"/>
    <col min="10243" max="10243" width="52.7109375" style="23" customWidth="1"/>
    <col min="10244" max="10245" width="18.7109375" style="23" customWidth="1"/>
    <col min="10246" max="10247" width="17.5703125" style="23" customWidth="1"/>
    <col min="10248" max="10248" width="16.85546875" style="23" customWidth="1"/>
    <col min="10249" max="10497" width="8.85546875" style="23"/>
    <col min="10498" max="10498" width="5.140625" style="23" customWidth="1"/>
    <col min="10499" max="10499" width="52.7109375" style="23" customWidth="1"/>
    <col min="10500" max="10501" width="18.7109375" style="23" customWidth="1"/>
    <col min="10502" max="10503" width="17.5703125" style="23" customWidth="1"/>
    <col min="10504" max="10504" width="16.85546875" style="23" customWidth="1"/>
    <col min="10505" max="10753" width="8.85546875" style="23"/>
    <col min="10754" max="10754" width="5.140625" style="23" customWidth="1"/>
    <col min="10755" max="10755" width="52.7109375" style="23" customWidth="1"/>
    <col min="10756" max="10757" width="18.7109375" style="23" customWidth="1"/>
    <col min="10758" max="10759" width="17.5703125" style="23" customWidth="1"/>
    <col min="10760" max="10760" width="16.85546875" style="23" customWidth="1"/>
    <col min="10761" max="11009" width="8.85546875" style="23"/>
    <col min="11010" max="11010" width="5.140625" style="23" customWidth="1"/>
    <col min="11011" max="11011" width="52.7109375" style="23" customWidth="1"/>
    <col min="11012" max="11013" width="18.7109375" style="23" customWidth="1"/>
    <col min="11014" max="11015" width="17.5703125" style="23" customWidth="1"/>
    <col min="11016" max="11016" width="16.85546875" style="23" customWidth="1"/>
    <col min="11017" max="11265" width="8.85546875" style="23"/>
    <col min="11266" max="11266" width="5.140625" style="23" customWidth="1"/>
    <col min="11267" max="11267" width="52.7109375" style="23" customWidth="1"/>
    <col min="11268" max="11269" width="18.7109375" style="23" customWidth="1"/>
    <col min="11270" max="11271" width="17.5703125" style="23" customWidth="1"/>
    <col min="11272" max="11272" width="16.85546875" style="23" customWidth="1"/>
    <col min="11273" max="11521" width="8.85546875" style="23"/>
    <col min="11522" max="11522" width="5.140625" style="23" customWidth="1"/>
    <col min="11523" max="11523" width="52.7109375" style="23" customWidth="1"/>
    <col min="11524" max="11525" width="18.7109375" style="23" customWidth="1"/>
    <col min="11526" max="11527" width="17.5703125" style="23" customWidth="1"/>
    <col min="11528" max="11528" width="16.85546875" style="23" customWidth="1"/>
    <col min="11529" max="11777" width="8.85546875" style="23"/>
    <col min="11778" max="11778" width="5.140625" style="23" customWidth="1"/>
    <col min="11779" max="11779" width="52.7109375" style="23" customWidth="1"/>
    <col min="11780" max="11781" width="18.7109375" style="23" customWidth="1"/>
    <col min="11782" max="11783" width="17.5703125" style="23" customWidth="1"/>
    <col min="11784" max="11784" width="16.85546875" style="23" customWidth="1"/>
    <col min="11785" max="12033" width="8.85546875" style="23"/>
    <col min="12034" max="12034" width="5.140625" style="23" customWidth="1"/>
    <col min="12035" max="12035" width="52.7109375" style="23" customWidth="1"/>
    <col min="12036" max="12037" width="18.7109375" style="23" customWidth="1"/>
    <col min="12038" max="12039" width="17.5703125" style="23" customWidth="1"/>
    <col min="12040" max="12040" width="16.85546875" style="23" customWidth="1"/>
    <col min="12041" max="12289" width="8.85546875" style="23"/>
    <col min="12290" max="12290" width="5.140625" style="23" customWidth="1"/>
    <col min="12291" max="12291" width="52.7109375" style="23" customWidth="1"/>
    <col min="12292" max="12293" width="18.7109375" style="23" customWidth="1"/>
    <col min="12294" max="12295" width="17.5703125" style="23" customWidth="1"/>
    <col min="12296" max="12296" width="16.85546875" style="23" customWidth="1"/>
    <col min="12297" max="12545" width="8.85546875" style="23"/>
    <col min="12546" max="12546" width="5.140625" style="23" customWidth="1"/>
    <col min="12547" max="12547" width="52.7109375" style="23" customWidth="1"/>
    <col min="12548" max="12549" width="18.7109375" style="23" customWidth="1"/>
    <col min="12550" max="12551" width="17.5703125" style="23" customWidth="1"/>
    <col min="12552" max="12552" width="16.85546875" style="23" customWidth="1"/>
    <col min="12553" max="12801" width="8.85546875" style="23"/>
    <col min="12802" max="12802" width="5.140625" style="23" customWidth="1"/>
    <col min="12803" max="12803" width="52.7109375" style="23" customWidth="1"/>
    <col min="12804" max="12805" width="18.7109375" style="23" customWidth="1"/>
    <col min="12806" max="12807" width="17.5703125" style="23" customWidth="1"/>
    <col min="12808" max="12808" width="16.85546875" style="23" customWidth="1"/>
    <col min="12809" max="13057" width="8.85546875" style="23"/>
    <col min="13058" max="13058" width="5.140625" style="23" customWidth="1"/>
    <col min="13059" max="13059" width="52.7109375" style="23" customWidth="1"/>
    <col min="13060" max="13061" width="18.7109375" style="23" customWidth="1"/>
    <col min="13062" max="13063" width="17.5703125" style="23" customWidth="1"/>
    <col min="13064" max="13064" width="16.85546875" style="23" customWidth="1"/>
    <col min="13065" max="13313" width="8.85546875" style="23"/>
    <col min="13314" max="13314" width="5.140625" style="23" customWidth="1"/>
    <col min="13315" max="13315" width="52.7109375" style="23" customWidth="1"/>
    <col min="13316" max="13317" width="18.7109375" style="23" customWidth="1"/>
    <col min="13318" max="13319" width="17.5703125" style="23" customWidth="1"/>
    <col min="13320" max="13320" width="16.85546875" style="23" customWidth="1"/>
    <col min="13321" max="13569" width="8.85546875" style="23"/>
    <col min="13570" max="13570" width="5.140625" style="23" customWidth="1"/>
    <col min="13571" max="13571" width="52.7109375" style="23" customWidth="1"/>
    <col min="13572" max="13573" width="18.7109375" style="23" customWidth="1"/>
    <col min="13574" max="13575" width="17.5703125" style="23" customWidth="1"/>
    <col min="13576" max="13576" width="16.85546875" style="23" customWidth="1"/>
    <col min="13577" max="13825" width="8.85546875" style="23"/>
    <col min="13826" max="13826" width="5.140625" style="23" customWidth="1"/>
    <col min="13827" max="13827" width="52.7109375" style="23" customWidth="1"/>
    <col min="13828" max="13829" width="18.7109375" style="23" customWidth="1"/>
    <col min="13830" max="13831" width="17.5703125" style="23" customWidth="1"/>
    <col min="13832" max="13832" width="16.85546875" style="23" customWidth="1"/>
    <col min="13833" max="14081" width="8.85546875" style="23"/>
    <col min="14082" max="14082" width="5.140625" style="23" customWidth="1"/>
    <col min="14083" max="14083" width="52.7109375" style="23" customWidth="1"/>
    <col min="14084" max="14085" width="18.7109375" style="23" customWidth="1"/>
    <col min="14086" max="14087" width="17.5703125" style="23" customWidth="1"/>
    <col min="14088" max="14088" width="16.85546875" style="23" customWidth="1"/>
    <col min="14089" max="14337" width="8.85546875" style="23"/>
    <col min="14338" max="14338" width="5.140625" style="23" customWidth="1"/>
    <col min="14339" max="14339" width="52.7109375" style="23" customWidth="1"/>
    <col min="14340" max="14341" width="18.7109375" style="23" customWidth="1"/>
    <col min="14342" max="14343" width="17.5703125" style="23" customWidth="1"/>
    <col min="14344" max="14344" width="16.85546875" style="23" customWidth="1"/>
    <col min="14345" max="14593" width="8.85546875" style="23"/>
    <col min="14594" max="14594" width="5.140625" style="23" customWidth="1"/>
    <col min="14595" max="14595" width="52.7109375" style="23" customWidth="1"/>
    <col min="14596" max="14597" width="18.7109375" style="23" customWidth="1"/>
    <col min="14598" max="14599" width="17.5703125" style="23" customWidth="1"/>
    <col min="14600" max="14600" width="16.85546875" style="23" customWidth="1"/>
    <col min="14601" max="14849" width="8.85546875" style="23"/>
    <col min="14850" max="14850" width="5.140625" style="23" customWidth="1"/>
    <col min="14851" max="14851" width="52.7109375" style="23" customWidth="1"/>
    <col min="14852" max="14853" width="18.7109375" style="23" customWidth="1"/>
    <col min="14854" max="14855" width="17.5703125" style="23" customWidth="1"/>
    <col min="14856" max="14856" width="16.85546875" style="23" customWidth="1"/>
    <col min="14857" max="15105" width="8.85546875" style="23"/>
    <col min="15106" max="15106" width="5.140625" style="23" customWidth="1"/>
    <col min="15107" max="15107" width="52.7109375" style="23" customWidth="1"/>
    <col min="15108" max="15109" width="18.7109375" style="23" customWidth="1"/>
    <col min="15110" max="15111" width="17.5703125" style="23" customWidth="1"/>
    <col min="15112" max="15112" width="16.85546875" style="23" customWidth="1"/>
    <col min="15113" max="15361" width="8.85546875" style="23"/>
    <col min="15362" max="15362" width="5.140625" style="23" customWidth="1"/>
    <col min="15363" max="15363" width="52.7109375" style="23" customWidth="1"/>
    <col min="15364" max="15365" width="18.7109375" style="23" customWidth="1"/>
    <col min="15366" max="15367" width="17.5703125" style="23" customWidth="1"/>
    <col min="15368" max="15368" width="16.85546875" style="23" customWidth="1"/>
    <col min="15369" max="15617" width="8.85546875" style="23"/>
    <col min="15618" max="15618" width="5.140625" style="23" customWidth="1"/>
    <col min="15619" max="15619" width="52.7109375" style="23" customWidth="1"/>
    <col min="15620" max="15621" width="18.7109375" style="23" customWidth="1"/>
    <col min="15622" max="15623" width="17.5703125" style="23" customWidth="1"/>
    <col min="15624" max="15624" width="16.85546875" style="23" customWidth="1"/>
    <col min="15625" max="15873" width="8.85546875" style="23"/>
    <col min="15874" max="15874" width="5.140625" style="23" customWidth="1"/>
    <col min="15875" max="15875" width="52.7109375" style="23" customWidth="1"/>
    <col min="15876" max="15877" width="18.7109375" style="23" customWidth="1"/>
    <col min="15878" max="15879" width="17.5703125" style="23" customWidth="1"/>
    <col min="15880" max="15880" width="16.85546875" style="23" customWidth="1"/>
    <col min="15881" max="16129" width="8.85546875" style="23"/>
    <col min="16130" max="16130" width="5.140625" style="23" customWidth="1"/>
    <col min="16131" max="16131" width="52.7109375" style="23" customWidth="1"/>
    <col min="16132" max="16133" width="18.7109375" style="23" customWidth="1"/>
    <col min="16134" max="16135" width="17.5703125" style="23" customWidth="1"/>
    <col min="16136" max="16136" width="16.85546875" style="23" customWidth="1"/>
    <col min="16137" max="16384" width="8.85546875" style="23"/>
  </cols>
  <sheetData>
    <row r="1" spans="1:8">
      <c r="G1" s="97" t="s">
        <v>35</v>
      </c>
      <c r="H1" s="97"/>
    </row>
    <row r="2" spans="1:8">
      <c r="G2" s="97" t="s">
        <v>29</v>
      </c>
      <c r="H2" s="97"/>
    </row>
    <row r="3" spans="1:8">
      <c r="G3" s="97" t="s">
        <v>30</v>
      </c>
      <c r="H3" s="97"/>
    </row>
    <row r="4" spans="1:8">
      <c r="G4" s="97" t="s">
        <v>170</v>
      </c>
      <c r="H4" s="97"/>
    </row>
    <row r="5" spans="1:8">
      <c r="G5" s="49"/>
      <c r="H5" s="49"/>
    </row>
    <row r="6" spans="1:8">
      <c r="A6" s="122" t="s">
        <v>165</v>
      </c>
      <c r="B6" s="122"/>
      <c r="C6" s="122"/>
      <c r="D6" s="122"/>
      <c r="E6" s="122"/>
      <c r="F6" s="122"/>
      <c r="G6" s="122"/>
      <c r="H6" s="122"/>
    </row>
    <row r="8" spans="1:8" s="3" customFormat="1" ht="13.15" customHeight="1">
      <c r="A8" s="109" t="s">
        <v>7</v>
      </c>
      <c r="B8" s="112" t="s">
        <v>0</v>
      </c>
      <c r="C8" s="124" t="s">
        <v>1</v>
      </c>
      <c r="D8" s="124" t="s">
        <v>89</v>
      </c>
      <c r="E8" s="127" t="s">
        <v>5</v>
      </c>
      <c r="F8" s="128"/>
      <c r="G8" s="129"/>
      <c r="H8" s="112" t="s">
        <v>6</v>
      </c>
    </row>
    <row r="9" spans="1:8" s="3" customFormat="1" ht="38.25">
      <c r="A9" s="110"/>
      <c r="B9" s="112"/>
      <c r="C9" s="125"/>
      <c r="D9" s="125"/>
      <c r="E9" s="92" t="s">
        <v>9</v>
      </c>
      <c r="F9" s="93" t="s">
        <v>8</v>
      </c>
      <c r="G9" s="103" t="s">
        <v>87</v>
      </c>
      <c r="H9" s="112"/>
    </row>
    <row r="10" spans="1:8" s="3" customFormat="1">
      <c r="A10" s="111"/>
      <c r="B10" s="112"/>
      <c r="C10" s="126"/>
      <c r="D10" s="126"/>
      <c r="E10" s="93" t="s">
        <v>168</v>
      </c>
      <c r="F10" s="93" t="s">
        <v>168</v>
      </c>
      <c r="G10" s="105"/>
      <c r="H10" s="112"/>
    </row>
    <row r="11" spans="1:8" s="3" customFormat="1">
      <c r="A11" s="130" t="s">
        <v>67</v>
      </c>
      <c r="B11" s="131"/>
      <c r="C11" s="131"/>
      <c r="D11" s="131"/>
      <c r="E11" s="131"/>
      <c r="F11" s="131"/>
      <c r="G11" s="131"/>
      <c r="H11" s="132"/>
    </row>
    <row r="12" spans="1:8">
      <c r="A12" s="7">
        <v>1</v>
      </c>
      <c r="B12" s="10" t="s">
        <v>166</v>
      </c>
      <c r="C12" s="93">
        <v>50</v>
      </c>
      <c r="D12" s="93">
        <v>2</v>
      </c>
      <c r="E12" s="24">
        <f>(C12+D12)*91*7</f>
        <v>33124</v>
      </c>
      <c r="F12" s="24"/>
      <c r="G12" s="24">
        <f>C12*300</f>
        <v>15000</v>
      </c>
      <c r="H12" s="9">
        <f>E12+F12+G12</f>
        <v>48124</v>
      </c>
    </row>
    <row r="13" spans="1:8">
      <c r="A13" s="7"/>
      <c r="B13" s="10"/>
      <c r="C13" s="25"/>
      <c r="D13" s="25"/>
      <c r="E13" s="26"/>
      <c r="F13" s="26"/>
      <c r="G13" s="26"/>
      <c r="H13" s="9"/>
    </row>
    <row r="14" spans="1:8">
      <c r="A14" s="18"/>
      <c r="B14" s="19" t="s">
        <v>6</v>
      </c>
      <c r="C14" s="27">
        <f t="shared" ref="C14:H14" si="0">C12</f>
        <v>50</v>
      </c>
      <c r="D14" s="27">
        <f t="shared" si="0"/>
        <v>2</v>
      </c>
      <c r="E14" s="28">
        <f t="shared" si="0"/>
        <v>33124</v>
      </c>
      <c r="F14" s="28">
        <f t="shared" si="0"/>
        <v>0</v>
      </c>
      <c r="G14" s="28">
        <f t="shared" si="0"/>
        <v>15000</v>
      </c>
      <c r="H14" s="21">
        <f t="shared" si="0"/>
        <v>48124</v>
      </c>
    </row>
    <row r="16" spans="1:8" ht="12.75" customHeight="1">
      <c r="A16" s="101" t="s">
        <v>33</v>
      </c>
      <c r="B16" s="101"/>
      <c r="C16" s="101"/>
      <c r="D16" s="101"/>
      <c r="E16" s="101"/>
      <c r="F16" s="101"/>
      <c r="G16" s="101"/>
      <c r="H16" s="101"/>
    </row>
    <row r="17" spans="1:8" ht="13.15" customHeight="1">
      <c r="A17" s="100" t="s">
        <v>167</v>
      </c>
      <c r="B17" s="100"/>
      <c r="C17" s="100"/>
      <c r="D17" s="100"/>
      <c r="E17" s="100"/>
      <c r="F17" s="100"/>
      <c r="G17" s="100"/>
      <c r="H17" s="100"/>
    </row>
    <row r="18" spans="1:8" ht="12.75" customHeight="1">
      <c r="A18" s="133" t="s">
        <v>169</v>
      </c>
      <c r="B18" s="133"/>
      <c r="C18" s="133"/>
      <c r="D18" s="133"/>
      <c r="E18" s="133"/>
      <c r="F18" s="133"/>
      <c r="G18" s="133"/>
      <c r="H18" s="133"/>
    </row>
    <row r="19" spans="1:8" ht="13.15" customHeight="1">
      <c r="A19" s="100" t="s">
        <v>95</v>
      </c>
      <c r="B19" s="100"/>
      <c r="C19" s="100"/>
      <c r="D19" s="100"/>
      <c r="E19" s="100"/>
      <c r="F19" s="100"/>
      <c r="G19" s="100"/>
      <c r="H19" s="100"/>
    </row>
    <row r="20" spans="1:8">
      <c r="A20" s="101" t="s">
        <v>34</v>
      </c>
      <c r="B20" s="101"/>
      <c r="C20" s="101"/>
      <c r="D20" s="101"/>
      <c r="E20" s="101"/>
      <c r="F20" s="101"/>
      <c r="G20" s="101"/>
      <c r="H20" s="101"/>
    </row>
    <row r="21" spans="1:8">
      <c r="A21" s="101" t="s">
        <v>71</v>
      </c>
      <c r="B21" s="101"/>
      <c r="C21" s="101"/>
      <c r="D21" s="101"/>
      <c r="E21" s="101"/>
      <c r="F21" s="101"/>
      <c r="G21" s="101"/>
      <c r="H21" s="101"/>
    </row>
    <row r="22" spans="1:8">
      <c r="A22" s="101" t="s">
        <v>39</v>
      </c>
      <c r="B22" s="101"/>
      <c r="C22" s="101"/>
      <c r="D22" s="101"/>
      <c r="E22" s="101"/>
      <c r="F22" s="101"/>
      <c r="G22" s="101"/>
      <c r="H22" s="101"/>
    </row>
    <row r="23" spans="1:8">
      <c r="A23" s="101" t="s">
        <v>97</v>
      </c>
      <c r="B23" s="101"/>
      <c r="C23" s="101"/>
      <c r="D23" s="101"/>
      <c r="E23" s="101"/>
      <c r="F23" s="101"/>
      <c r="G23" s="101"/>
      <c r="H23" s="101"/>
    </row>
    <row r="24" spans="1:8" ht="12.75" customHeight="1">
      <c r="A24" s="100" t="s">
        <v>41</v>
      </c>
      <c r="B24" s="100"/>
      <c r="C24" s="100"/>
      <c r="D24" s="100"/>
      <c r="E24" s="100"/>
      <c r="F24" s="100"/>
      <c r="G24" s="100"/>
      <c r="H24" s="100"/>
    </row>
  </sheetData>
  <mergeCells count="22">
    <mergeCell ref="A23:H23"/>
    <mergeCell ref="A24:H24"/>
    <mergeCell ref="H8:H10"/>
    <mergeCell ref="G9:G10"/>
    <mergeCell ref="A11:H11"/>
    <mergeCell ref="A16:H16"/>
    <mergeCell ref="A17:H17"/>
    <mergeCell ref="A18:H18"/>
    <mergeCell ref="A8:A10"/>
    <mergeCell ref="B8:B10"/>
    <mergeCell ref="C8:C10"/>
    <mergeCell ref="D8:D10"/>
    <mergeCell ref="E8:G8"/>
    <mergeCell ref="A19:H19"/>
    <mergeCell ref="A20:H20"/>
    <mergeCell ref="A21:H21"/>
    <mergeCell ref="A22:H22"/>
    <mergeCell ref="G1:H1"/>
    <mergeCell ref="G2:H2"/>
    <mergeCell ref="G3:H3"/>
    <mergeCell ref="G4:H4"/>
    <mergeCell ref="A6:H6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лето</vt:lpstr>
      <vt:lpstr>осень, зима</vt:lpstr>
      <vt:lpstr>путевки</vt:lpstr>
      <vt:lpstr>твое призвание</vt:lpstr>
      <vt:lpstr>школа мол. актива (дневной)</vt:lpstr>
      <vt:lpstr>мы-патриоты (дневной)</vt:lpstr>
      <vt:lpstr>слет кадетов (дневной)</vt:lpstr>
      <vt:lpstr>Лист4</vt:lpstr>
      <vt:lpstr>Лист1</vt:lpstr>
      <vt:lpstr>Лист2</vt:lpstr>
      <vt:lpstr>путевки!Область_печати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2016-06-09T08:20:21Z</dcterms:modified>
</cp:coreProperties>
</file>