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29" i="1"/>
  <c r="L56" l="1"/>
  <c r="L95"/>
  <c r="L87"/>
  <c r="L86"/>
  <c r="L85"/>
  <c r="L82"/>
  <c r="H82" s="1"/>
  <c r="L73"/>
  <c r="L71"/>
  <c r="L55"/>
  <c r="L46"/>
  <c r="L37"/>
  <c r="L36"/>
  <c r="L31"/>
  <c r="L30"/>
  <c r="L26"/>
  <c r="L20"/>
  <c r="L18"/>
  <c r="L13"/>
  <c r="L39"/>
  <c r="J29"/>
  <c r="I29"/>
  <c r="I10"/>
  <c r="H54"/>
  <c r="L34"/>
  <c r="L19"/>
  <c r="J56"/>
  <c r="I56"/>
  <c r="H55"/>
  <c r="H53"/>
  <c r="L52"/>
  <c r="L48"/>
  <c r="L12"/>
  <c r="N73"/>
  <c r="N56" s="1"/>
  <c r="M73"/>
  <c r="M56" s="1"/>
  <c r="N30" l="1"/>
  <c r="N29" s="1"/>
  <c r="M30"/>
  <c r="M29" s="1"/>
  <c r="N12"/>
  <c r="M12"/>
  <c r="H96" l="1"/>
  <c r="H94"/>
  <c r="H92"/>
  <c r="H91"/>
  <c r="H89"/>
  <c r="H86"/>
  <c r="H84"/>
  <c r="H80"/>
  <c r="H79"/>
  <c r="H78"/>
  <c r="H75"/>
  <c r="H74"/>
  <c r="H72"/>
  <c r="H69"/>
  <c r="H68"/>
  <c r="H66"/>
  <c r="H65"/>
  <c r="H64"/>
  <c r="H62"/>
  <c r="H61"/>
  <c r="H60"/>
  <c r="H59"/>
  <c r="H58"/>
  <c r="H57"/>
  <c r="H52"/>
  <c r="H51"/>
  <c r="H50"/>
  <c r="H49"/>
  <c r="H48"/>
  <c r="H47"/>
  <c r="H45"/>
  <c r="H43"/>
  <c r="H42"/>
  <c r="H41"/>
  <c r="H40"/>
  <c r="H38"/>
  <c r="H35"/>
  <c r="H25"/>
  <c r="H23"/>
  <c r="H21"/>
  <c r="H15"/>
  <c r="H14"/>
  <c r="N93"/>
  <c r="N88"/>
  <c r="N83"/>
  <c r="N10"/>
  <c r="N9" l="1"/>
  <c r="K95" l="1"/>
  <c r="H95" s="1"/>
  <c r="K90"/>
  <c r="H90" s="1"/>
  <c r="K87"/>
  <c r="H87" s="1"/>
  <c r="K81"/>
  <c r="H81" s="1"/>
  <c r="K77"/>
  <c r="H77" s="1"/>
  <c r="K73"/>
  <c r="H73" s="1"/>
  <c r="K71"/>
  <c r="H71" s="1"/>
  <c r="K70"/>
  <c r="H70" s="1"/>
  <c r="K67"/>
  <c r="H67" s="1"/>
  <c r="K63"/>
  <c r="K44"/>
  <c r="H44" s="1"/>
  <c r="K37"/>
  <c r="H37" s="1"/>
  <c r="K36"/>
  <c r="H36" s="1"/>
  <c r="K34"/>
  <c r="H34" s="1"/>
  <c r="K33"/>
  <c r="H33" s="1"/>
  <c r="K32"/>
  <c r="H32" s="1"/>
  <c r="K31"/>
  <c r="H31" s="1"/>
  <c r="K30"/>
  <c r="K18"/>
  <c r="H18" s="1"/>
  <c r="K16"/>
  <c r="H16" s="1"/>
  <c r="K13"/>
  <c r="H13" s="1"/>
  <c r="K12"/>
  <c r="H12" s="1"/>
  <c r="K85"/>
  <c r="H85" s="1"/>
  <c r="K27"/>
  <c r="H27" s="1"/>
  <c r="K26"/>
  <c r="H26" s="1"/>
  <c r="K28"/>
  <c r="H28" s="1"/>
  <c r="K20"/>
  <c r="H20" s="1"/>
  <c r="K19"/>
  <c r="H19" s="1"/>
  <c r="H30" l="1"/>
  <c r="H63"/>
  <c r="K46"/>
  <c r="H46" s="1"/>
  <c r="K39"/>
  <c r="K24"/>
  <c r="H24" s="1"/>
  <c r="J10"/>
  <c r="L10"/>
  <c r="M10"/>
  <c r="K76"/>
  <c r="H76" s="1"/>
  <c r="J93"/>
  <c r="L93"/>
  <c r="M93"/>
  <c r="I93"/>
  <c r="J88"/>
  <c r="K88"/>
  <c r="L88"/>
  <c r="M88"/>
  <c r="I88"/>
  <c r="J83"/>
  <c r="L83"/>
  <c r="M83"/>
  <c r="I83"/>
  <c r="K29" l="1"/>
  <c r="H29" s="1"/>
  <c r="K56"/>
  <c r="H56" s="1"/>
  <c r="H39"/>
  <c r="H88"/>
  <c r="K83"/>
  <c r="H83" s="1"/>
  <c r="K10"/>
  <c r="H10" s="1"/>
  <c r="K93"/>
  <c r="H93" s="1"/>
  <c r="L9"/>
  <c r="I9"/>
  <c r="J9"/>
  <c r="M9"/>
  <c r="K9" l="1"/>
  <c r="H9" s="1"/>
</calcChain>
</file>

<file path=xl/sharedStrings.xml><?xml version="1.0" encoding="utf-8"?>
<sst xmlns="http://schemas.openxmlformats.org/spreadsheetml/2006/main" count="444" uniqueCount="239">
  <si>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</si>
  <si>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</si>
  <si>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</si>
  <si>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</si>
  <si>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</si>
  <si>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</si>
  <si>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</si>
  <si>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</si>
  <si>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</si>
  <si>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</si>
  <si>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</si>
  <si>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</si>
  <si>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</si>
  <si>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</si>
  <si>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</si>
  <si>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</si>
  <si>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</si>
  <si>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</si>
  <si>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</si>
  <si>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</si>
  <si>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</si>
  <si>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</si>
  <si>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</si>
  <si>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</si>
  <si>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</si>
  <si>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</si>
  <si>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</si>
  <si>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</si>
  <si>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</si>
  <si>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</si>
  <si>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</si>
  <si>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</si>
  <si>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</si>
  <si>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</si>
  <si>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</si>
  <si>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</si>
  <si>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</si>
  <si>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</si>
  <si>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</si>
  <si>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</si>
  <si>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</si>
  <si>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</si>
  <si>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</si>
  <si>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</si>
  <si>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</si>
  <si>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</si>
  <si>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</si>
  <si>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</si>
  <si>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</si>
  <si>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</si>
  <si>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</si>
  <si>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</si>
  <si>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</si>
  <si>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</si>
  <si>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</si>
  <si>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</si>
  <si>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</si>
  <si>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</si>
  <si>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</si>
  <si>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</si>
  <si>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</si>
  <si>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</si>
  <si>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</si>
  <si>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</si>
  <si>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</si>
  <si>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</si>
  <si>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</si>
  <si>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</si>
  <si>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</si>
  <si>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</si>
  <si>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</si>
  <si>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</si>
  <si>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</si>
  <si>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</si>
  <si>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</si>
  <si>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</si>
  <si>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</si>
  <si>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</si>
  <si>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</si>
  <si>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</si>
  <si>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</si>
  <si>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</si>
  <si>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</si>
  <si>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</si>
  <si>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</si>
  <si>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</si>
  <si>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</si>
  <si>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</si>
  <si>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</si>
  <si>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</si>
  <si>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</si>
  <si>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</si>
  <si>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</si>
  <si>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</si>
  <si>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</si>
  <si>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</si>
  <si>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</si>
  <si>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</si>
  <si>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</si>
  <si>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</si>
  <si>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</si>
  <si>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</si>
  <si>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</si>
  <si>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</si>
  <si>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</si>
  <si>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</si>
  <si>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</si>
  <si>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</si>
  <si>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</si>
  <si>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</si>
  <si>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</si>
  <si>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</si>
  <si>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</si>
  <si>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</si>
  <si>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</si>
  <si>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</si>
  <si>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</si>
  <si>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</si>
  <si>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</si>
  <si>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</si>
  <si>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</si>
  <si>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</si>
  <si>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</si>
  <si>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</si>
  <si>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</si>
  <si>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</si>
  <si>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</si>
  <si>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</si>
  <si>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</si>
  <si>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</si>
  <si>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</si>
  <si>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</si>
  <si>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</si>
  <si>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</si>
  <si>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</si>
  <si>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</si>
  <si>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</si>
  <si>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</si>
  <si>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</si>
  <si>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</si>
  <si>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</si>
  <si>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</si>
  <si>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</si>
  <si>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</si>
  <si>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</si>
  <si>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</si>
  <si>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</si>
  <si>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</si>
  <si>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</si>
  <si>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</si>
  <si>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</si>
  <si>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</si>
  <si>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</si>
  <si>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</si>
  <si>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</si>
  <si>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</si>
  <si>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</si>
  <si>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</si>
  <si>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</si>
  <si>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</si>
  <si>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</si>
  <si>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</si>
  <si>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</si>
  <si>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</si>
  <si>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</si>
  <si>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</si>
  <si>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</si>
  <si>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</si>
  <si>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</si>
  <si>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</si>
  <si>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</si>
  <si>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</si>
  <si>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</si>
  <si>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</si>
  <si>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</si>
  <si>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</si>
  <si>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</si>
  <si>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</si>
  <si>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</si>
  <si>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</si>
  <si>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</si>
  <si>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</si>
  <si>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</si>
  <si>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</si>
  <si>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</si>
  <si>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</si>
  <si>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</si>
  <si>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</si>
  <si>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</si>
  <si>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</si>
  <si>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</si>
  <si>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</si>
  <si>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</si>
  <si>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</si>
  <si>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</si>
  <si>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</si>
  <si>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</si>
  <si>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</si>
  <si>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</si>
  <si>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</si>
  <si>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</si>
  <si>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</si>
  <si>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</si>
  <si>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</si>
  <si>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</si>
  <si>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</si>
  <si>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</si>
  <si>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</si>
  <si>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</si>
  <si>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</si>
  <si>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</si>
  <si>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</si>
  <si>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</si>
  <si>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</si>
  <si>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</si>
  <si>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</si>
  <si>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</si>
  <si>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</si>
  <si>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</si>
  <si>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</si>
  <si>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</si>
  <si>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</si>
  <si>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</si>
  <si>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</si>
  <si>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</si>
  <si>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2Р 72000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</si>
  <si>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</si>
  <si>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</si>
  <si>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</si>
  <si>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</si>
  <si>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</si>
  <si>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</si>
  <si>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04 3 3С 00000</t>
  </si>
  <si>
    <t>Основное мероприятие 2.19.</t>
  </si>
  <si>
    <t>Основное мероприятие 2.20.</t>
  </si>
  <si>
    <t>04 2 2Р S2000</t>
  </si>
  <si>
    <t>04 3 3К L0200</t>
  </si>
  <si>
    <t>04 3 3К R0200</t>
  </si>
  <si>
    <t xml:space="preserve">Приложение 4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</si>
</sst>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tabSelected="1" zoomScaleNormal="100" workbookViewId="0">
      <selection activeCell="O7" sqref="O7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2" width="11" style="42" customWidth="1"/>
    <col min="13" max="14" width="11" style="1" customWidth="1"/>
    <col min="15" max="16384" width="8.85546875" style="1"/>
  </cols>
  <sheetData>
    <row r="1" spans="1:14" ht="14.25" customHeight="1">
      <c r="J1" s="43"/>
      <c r="K1" s="43"/>
      <c r="L1" s="43"/>
      <c r="M1" s="43"/>
      <c r="N1" s="43"/>
    </row>
    <row r="2" spans="1:14" ht="29.25" hidden="1" customHeight="1">
      <c r="J2" s="44"/>
      <c r="K2" s="44"/>
      <c r="L2" s="44"/>
      <c r="M2" s="44"/>
      <c r="N2" s="44"/>
    </row>
    <row r="3" spans="1:14">
      <c r="J3" s="46" t="s">
        <v>238</v>
      </c>
      <c r="K3" s="46"/>
      <c r="L3" s="46"/>
      <c r="M3" s="46"/>
      <c r="N3" s="46"/>
    </row>
    <row r="4" spans="1:14" ht="43.5" customHeight="1">
      <c r="A4" s="31"/>
      <c r="B4" s="31"/>
      <c r="C4" s="31"/>
      <c r="D4" s="31"/>
      <c r="E4" s="31"/>
      <c r="F4" s="31"/>
      <c r="G4" s="31"/>
      <c r="H4" s="31"/>
      <c r="I4" s="31"/>
      <c r="J4" s="50" t="s">
        <v>198</v>
      </c>
      <c r="K4" s="50"/>
      <c r="L4" s="50"/>
      <c r="M4" s="50"/>
      <c r="N4" s="50"/>
    </row>
    <row r="5" spans="1:14" ht="15.75">
      <c r="A5" s="47" t="s">
        <v>223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.75">
      <c r="A6" s="33"/>
      <c r="B6" s="33"/>
      <c r="C6" s="33"/>
      <c r="D6" s="33"/>
      <c r="E6" s="33"/>
      <c r="F6" s="33"/>
      <c r="G6" s="33"/>
      <c r="H6" s="33"/>
      <c r="I6" s="33"/>
      <c r="J6" s="33"/>
      <c r="K6" s="35"/>
      <c r="L6" s="40"/>
      <c r="M6" s="33"/>
      <c r="N6" s="33"/>
    </row>
    <row r="7" spans="1:14" s="3" customFormat="1" ht="13.9" customHeight="1">
      <c r="A7" s="48" t="s">
        <v>0</v>
      </c>
      <c r="B7" s="48" t="s">
        <v>1</v>
      </c>
      <c r="C7" s="48" t="s">
        <v>2</v>
      </c>
      <c r="D7" s="56" t="s">
        <v>3</v>
      </c>
      <c r="E7" s="57"/>
      <c r="F7" s="57"/>
      <c r="G7" s="58"/>
      <c r="H7" s="45" t="s">
        <v>8</v>
      </c>
      <c r="I7" s="45"/>
      <c r="J7" s="45"/>
      <c r="K7" s="45"/>
      <c r="L7" s="45"/>
      <c r="M7" s="45"/>
      <c r="N7" s="45"/>
    </row>
    <row r="8" spans="1:14" s="3" customFormat="1" ht="37.5" customHeight="1">
      <c r="A8" s="49"/>
      <c r="B8" s="49"/>
      <c r="C8" s="49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38">
        <v>2017</v>
      </c>
      <c r="M8" s="5">
        <v>2018</v>
      </c>
      <c r="N8" s="5">
        <v>2019</v>
      </c>
    </row>
    <row r="9" spans="1:14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SUM(I9:N9)</f>
        <v>2195708.2220000001</v>
      </c>
      <c r="I9" s="7">
        <f t="shared" ref="I9:N9" si="0">I10+I29+I56+I83+I88+I93</f>
        <v>386844.49999999994</v>
      </c>
      <c r="J9" s="7">
        <f t="shared" si="0"/>
        <v>390549</v>
      </c>
      <c r="K9" s="24">
        <f t="shared" si="0"/>
        <v>367367.45199999993</v>
      </c>
      <c r="L9" s="39">
        <f t="shared" si="0"/>
        <v>354515.71800000005</v>
      </c>
      <c r="M9" s="7">
        <f t="shared" si="0"/>
        <v>348475.37599999999</v>
      </c>
      <c r="N9" s="7">
        <f t="shared" si="0"/>
        <v>347956.17599999998</v>
      </c>
    </row>
    <row r="10" spans="1:14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SUM(I10:N10)</f>
        <v>750345.15399999998</v>
      </c>
      <c r="I10" s="22">
        <f>I12+I13+I14+I15+I16+I18+I19+I20+I21+I23+I24+I25+I26+I27+I28</f>
        <v>140952.1</v>
      </c>
      <c r="J10" s="22">
        <f t="shared" ref="J10:M10" si="1">J12+J13+J14+J15+J16+J18+J19+J20+J21+J23+J24+J25+J26+J27+J28</f>
        <v>119768.20000000003</v>
      </c>
      <c r="K10" s="23">
        <f t="shared" si="1"/>
        <v>126152.49199999998</v>
      </c>
      <c r="L10" s="22">
        <f t="shared" si="1"/>
        <v>119951.46200000001</v>
      </c>
      <c r="M10" s="22">
        <f t="shared" si="1"/>
        <v>121577.29999999999</v>
      </c>
      <c r="N10" s="22">
        <f t="shared" ref="N10" si="2">N12+N13+N14+N15+N16+N18+N19+N20+N21+N23+N24+N25+N26+N27+N28</f>
        <v>121943.59999999999</v>
      </c>
    </row>
    <row r="11" spans="1:14" ht="30.75" customHeight="1">
      <c r="A11" s="10" t="s">
        <v>18</v>
      </c>
      <c r="B11" s="53" t="s">
        <v>19</v>
      </c>
      <c r="C11" s="54"/>
      <c r="D11" s="12"/>
      <c r="E11" s="12"/>
      <c r="F11" s="14"/>
      <c r="G11" s="12"/>
      <c r="H11" s="8"/>
      <c r="I11" s="8"/>
      <c r="J11" s="8"/>
      <c r="K11" s="25"/>
      <c r="L11" s="37"/>
      <c r="M11" s="8"/>
      <c r="N11" s="8"/>
    </row>
    <row r="12" spans="1:14" ht="84.75" customHeight="1">
      <c r="A12" s="51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SUM(I12:N12)</f>
        <v>230392.443</v>
      </c>
      <c r="I12" s="8">
        <v>40844.6</v>
      </c>
      <c r="J12" s="8">
        <v>34832.400000000001</v>
      </c>
      <c r="K12" s="25">
        <f>40788.434</f>
        <v>40788.434000000001</v>
      </c>
      <c r="L12" s="37">
        <f>37667.7+352.4-124.891</f>
        <v>37895.208999999995</v>
      </c>
      <c r="M12" s="8">
        <f>37663.5+352.4</f>
        <v>38015.9</v>
      </c>
      <c r="N12" s="8">
        <f>37663.5+352.4</f>
        <v>38015.9</v>
      </c>
    </row>
    <row r="13" spans="1:14" ht="85.5" customHeight="1">
      <c r="A13" s="52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SUM(I13:N13)</f>
        <v>461337.277</v>
      </c>
      <c r="I13" s="8">
        <v>92730.4</v>
      </c>
      <c r="J13" s="8">
        <v>72773.3</v>
      </c>
      <c r="K13" s="25">
        <f>72275.827</f>
        <v>72275.827000000005</v>
      </c>
      <c r="L13" s="37">
        <f>74522-8.25</f>
        <v>74513.75</v>
      </c>
      <c r="M13" s="8">
        <v>74522</v>
      </c>
      <c r="N13" s="8">
        <v>74522</v>
      </c>
    </row>
    <row r="14" spans="1:14" ht="45">
      <c r="A14" s="51" t="s">
        <v>28</v>
      </c>
      <c r="B14" s="10" t="s">
        <v>201</v>
      </c>
      <c r="C14" s="10" t="s">
        <v>12</v>
      </c>
      <c r="D14" s="12"/>
      <c r="E14" s="19"/>
      <c r="F14" s="20"/>
      <c r="G14" s="19"/>
      <c r="H14" s="8">
        <f>SUM(I14:N14)</f>
        <v>0</v>
      </c>
      <c r="I14" s="8">
        <v>0</v>
      </c>
      <c r="J14" s="8">
        <v>0</v>
      </c>
      <c r="K14" s="25">
        <v>0</v>
      </c>
      <c r="L14" s="37">
        <v>0</v>
      </c>
      <c r="M14" s="8">
        <v>0</v>
      </c>
      <c r="N14" s="8">
        <v>0</v>
      </c>
    </row>
    <row r="15" spans="1:14" ht="105">
      <c r="A15" s="52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>SUM(I15:N15)</f>
        <v>103.2</v>
      </c>
      <c r="I15" s="8">
        <v>103.2</v>
      </c>
      <c r="J15" s="8">
        <v>0</v>
      </c>
      <c r="K15" s="25">
        <v>0</v>
      </c>
      <c r="L15" s="37">
        <v>0</v>
      </c>
      <c r="M15" s="8">
        <v>0</v>
      </c>
      <c r="N15" s="8">
        <v>0</v>
      </c>
    </row>
    <row r="16" spans="1:14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145</v>
      </c>
      <c r="F16" s="20" t="s">
        <v>31</v>
      </c>
      <c r="G16" s="19" t="s">
        <v>24</v>
      </c>
      <c r="H16" s="8">
        <f>SUM(I16:N16)</f>
        <v>27601.200000000001</v>
      </c>
      <c r="I16" s="8">
        <v>2540.1</v>
      </c>
      <c r="J16" s="8">
        <v>5781.6</v>
      </c>
      <c r="K16" s="25">
        <f>4317.4</f>
        <v>4317.3999999999996</v>
      </c>
      <c r="L16" s="37">
        <v>4544</v>
      </c>
      <c r="M16" s="8">
        <v>5025.8999999999996</v>
      </c>
      <c r="N16" s="8">
        <v>5392.2</v>
      </c>
    </row>
    <row r="17" spans="1:14" ht="30.75" customHeight="1">
      <c r="A17" s="10" t="s">
        <v>18</v>
      </c>
      <c r="B17" s="53" t="s">
        <v>33</v>
      </c>
      <c r="C17" s="54"/>
      <c r="D17" s="12"/>
      <c r="E17" s="19"/>
      <c r="F17" s="20"/>
      <c r="G17" s="19"/>
      <c r="H17" s="8"/>
      <c r="I17" s="8"/>
      <c r="J17" s="8"/>
      <c r="K17" s="25"/>
      <c r="L17" s="37"/>
      <c r="M17" s="8"/>
      <c r="N17" s="8"/>
    </row>
    <row r="18" spans="1:14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>SUM(I18:N18)</f>
        <v>14921.875999999998</v>
      </c>
      <c r="I18" s="8">
        <v>0</v>
      </c>
      <c r="J18" s="8">
        <v>2996.8</v>
      </c>
      <c r="K18" s="25">
        <f>5219.999</f>
        <v>5219.9989999999998</v>
      </c>
      <c r="L18" s="37">
        <f>2500-794.923</f>
        <v>1705.077</v>
      </c>
      <c r="M18" s="8">
        <v>2500</v>
      </c>
      <c r="N18" s="8">
        <v>2500</v>
      </c>
    </row>
    <row r="19" spans="1:14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>SUM(I19:N19)</f>
        <v>4483</v>
      </c>
      <c r="I19" s="8">
        <v>725</v>
      </c>
      <c r="J19" s="8">
        <v>730</v>
      </c>
      <c r="K19" s="25">
        <f>818</f>
        <v>818</v>
      </c>
      <c r="L19" s="37">
        <f>800-190</f>
        <v>610</v>
      </c>
      <c r="M19" s="8">
        <v>800</v>
      </c>
      <c r="N19" s="8">
        <v>800</v>
      </c>
    </row>
    <row r="20" spans="1:14" ht="60">
      <c r="A20" s="51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>SUM(I20:N20)</f>
        <v>5228.482</v>
      </c>
      <c r="I20" s="8">
        <v>865.4</v>
      </c>
      <c r="J20" s="8">
        <v>2124.6</v>
      </c>
      <c r="K20" s="25">
        <f>700.42</f>
        <v>700.42</v>
      </c>
      <c r="L20" s="37">
        <f>600-178.4-83.538</f>
        <v>338.06200000000001</v>
      </c>
      <c r="M20" s="8">
        <v>600</v>
      </c>
      <c r="N20" s="8">
        <v>600</v>
      </c>
    </row>
    <row r="21" spans="1:14" ht="60">
      <c r="A21" s="52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>SUM(I21:N21)</f>
        <v>236.9</v>
      </c>
      <c r="I21" s="8">
        <v>236.9</v>
      </c>
      <c r="J21" s="8">
        <v>0</v>
      </c>
      <c r="K21" s="25">
        <v>0</v>
      </c>
      <c r="L21" s="37">
        <v>0</v>
      </c>
      <c r="M21" s="8">
        <v>0</v>
      </c>
      <c r="N21" s="8">
        <v>0</v>
      </c>
    </row>
    <row r="22" spans="1:14" ht="30.75" customHeight="1">
      <c r="A22" s="10" t="s">
        <v>18</v>
      </c>
      <c r="B22" s="53" t="s">
        <v>45</v>
      </c>
      <c r="C22" s="54"/>
      <c r="D22" s="12"/>
      <c r="E22" s="19"/>
      <c r="F22" s="20"/>
      <c r="G22" s="19"/>
      <c r="H22" s="8"/>
      <c r="I22" s="8"/>
      <c r="J22" s="8"/>
      <c r="K22" s="25"/>
      <c r="L22" s="37"/>
      <c r="M22" s="8"/>
      <c r="N22" s="8"/>
    </row>
    <row r="23" spans="1:14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>SUM(I23:N23)</f>
        <v>50</v>
      </c>
      <c r="I23" s="8">
        <v>15</v>
      </c>
      <c r="J23" s="8">
        <v>15</v>
      </c>
      <c r="K23" s="25">
        <v>15</v>
      </c>
      <c r="L23" s="37">
        <v>5</v>
      </c>
      <c r="M23" s="8">
        <v>0</v>
      </c>
      <c r="N23" s="8">
        <v>0</v>
      </c>
    </row>
    <row r="24" spans="1:14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209</v>
      </c>
      <c r="H24" s="8">
        <f>SUM(I24:N24)</f>
        <v>986</v>
      </c>
      <c r="I24" s="8">
        <v>386</v>
      </c>
      <c r="J24" s="8">
        <v>310</v>
      </c>
      <c r="K24" s="25">
        <f>386-80-16</f>
        <v>290</v>
      </c>
      <c r="L24" s="37">
        <v>0</v>
      </c>
      <c r="M24" s="8">
        <v>0</v>
      </c>
      <c r="N24" s="8">
        <v>0</v>
      </c>
    </row>
    <row r="25" spans="1:14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>SUM(I25:N25)</f>
        <v>1994.7</v>
      </c>
      <c r="I25" s="8">
        <v>1994.7</v>
      </c>
      <c r="J25" s="8">
        <v>0</v>
      </c>
      <c r="K25" s="25">
        <v>0</v>
      </c>
      <c r="L25" s="37">
        <v>0</v>
      </c>
      <c r="M25" s="8">
        <v>0</v>
      </c>
      <c r="N25" s="8">
        <v>0</v>
      </c>
    </row>
    <row r="26" spans="1:14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204</v>
      </c>
      <c r="G26" s="19" t="s">
        <v>24</v>
      </c>
      <c r="H26" s="8">
        <f>SUM(I26:N26)</f>
        <v>2148.6120000000001</v>
      </c>
      <c r="I26" s="8">
        <v>510.8</v>
      </c>
      <c r="J26" s="8">
        <v>117.4</v>
      </c>
      <c r="K26" s="25">
        <f>1293.548</f>
        <v>1293.548</v>
      </c>
      <c r="L26" s="37">
        <f>86.7+91.3+48.864</f>
        <v>226.864</v>
      </c>
      <c r="M26" s="8">
        <v>0</v>
      </c>
      <c r="N26" s="8">
        <v>0</v>
      </c>
    </row>
    <row r="27" spans="1:14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ref="H27:H94" si="3">SUM(I27:N27)</f>
        <v>531.46399999999994</v>
      </c>
      <c r="I27" s="8">
        <v>0</v>
      </c>
      <c r="J27" s="8">
        <v>87.1</v>
      </c>
      <c r="K27" s="25">
        <f>103.864</f>
        <v>103.864</v>
      </c>
      <c r="L27" s="37">
        <v>113.5</v>
      </c>
      <c r="M27" s="8">
        <v>113.5</v>
      </c>
      <c r="N27" s="8">
        <v>113.5</v>
      </c>
    </row>
    <row r="28" spans="1:14" ht="60">
      <c r="A28" s="10" t="s">
        <v>205</v>
      </c>
      <c r="B28" s="10" t="s">
        <v>212</v>
      </c>
      <c r="C28" s="10" t="s">
        <v>12</v>
      </c>
      <c r="D28" s="12">
        <v>975</v>
      </c>
      <c r="E28" s="19" t="s">
        <v>22</v>
      </c>
      <c r="F28" s="20" t="s">
        <v>206</v>
      </c>
      <c r="G28" s="19" t="s">
        <v>24</v>
      </c>
      <c r="H28" s="8">
        <f t="shared" si="3"/>
        <v>330</v>
      </c>
      <c r="I28" s="8">
        <v>0</v>
      </c>
      <c r="J28" s="8">
        <v>0</v>
      </c>
      <c r="K28" s="25">
        <f>200+30+100</f>
        <v>330</v>
      </c>
      <c r="L28" s="37">
        <v>0</v>
      </c>
      <c r="M28" s="8">
        <v>0</v>
      </c>
      <c r="N28" s="8">
        <v>0</v>
      </c>
    </row>
    <row r="29" spans="1:14" ht="90">
      <c r="A29" s="15" t="s">
        <v>61</v>
      </c>
      <c r="B29" s="15" t="s">
        <v>62</v>
      </c>
      <c r="C29" s="15" t="s">
        <v>16</v>
      </c>
      <c r="D29" s="16"/>
      <c r="E29" s="16"/>
      <c r="F29" s="17" t="s">
        <v>63</v>
      </c>
      <c r="G29" s="16"/>
      <c r="H29" s="34">
        <f>SUM(I29:N29)</f>
        <v>1216194.2569999998</v>
      </c>
      <c r="I29" s="22">
        <f>I30+I31+I32+I33+I34+I35+I36+I37+I38+I39+I40+I41+I42+I43+I44+I45+I48+I49+I50+I52+I46+I53+I55+I54</f>
        <v>204702.49999999997</v>
      </c>
      <c r="J29" s="22">
        <f t="shared" ref="J29:M29" si="4">J30+J31+J32+J33+J34+J35+J36+J37+J38+J39+J40+J41+J42+J43+J44+J45+J48+J49+J50+J52+J46+J53+J55+J54</f>
        <v>227518.4</v>
      </c>
      <c r="K29" s="22">
        <f t="shared" si="4"/>
        <v>203219.23499999996</v>
      </c>
      <c r="L29" s="22">
        <f>L30+L31+L32+L33+L34+L35+L36+L37+L38+L39+L40+L41+L42+L43+L44+L45+L48+L49+L50+L52+L46+L53+L55+L54</f>
        <v>198233.64200000002</v>
      </c>
      <c r="M29" s="22">
        <f t="shared" si="4"/>
        <v>191642.99</v>
      </c>
      <c r="N29" s="22">
        <f>N30+N31+N32+N33+N34+N35+N36+N37+N38+N39+N40+N41+N42+N43+N44+N45+N48+N49+N50+N52+N46+N53+N55+N54</f>
        <v>190877.49</v>
      </c>
    </row>
    <row r="30" spans="1:14" ht="60">
      <c r="A30" s="51" t="s">
        <v>66</v>
      </c>
      <c r="B30" s="10" t="s">
        <v>64</v>
      </c>
      <c r="C30" s="10" t="s">
        <v>12</v>
      </c>
      <c r="D30" s="12">
        <v>975</v>
      </c>
      <c r="E30" s="19" t="s">
        <v>22</v>
      </c>
      <c r="F30" s="20" t="s">
        <v>67</v>
      </c>
      <c r="G30" s="19" t="s">
        <v>24</v>
      </c>
      <c r="H30" s="8">
        <f t="shared" si="3"/>
        <v>260176.32500000001</v>
      </c>
      <c r="I30" s="8">
        <v>42550</v>
      </c>
      <c r="J30" s="8">
        <v>38472.800000000003</v>
      </c>
      <c r="K30" s="25">
        <f>47329.332</f>
        <v>47329.332000000002</v>
      </c>
      <c r="L30" s="37">
        <f>41455.89+857.2+5115.523-74.6-30</f>
        <v>47324.012999999999</v>
      </c>
      <c r="M30" s="8">
        <f>41392.89+857.2</f>
        <v>42250.09</v>
      </c>
      <c r="N30" s="8">
        <f>41392.89+857.2</f>
        <v>42250.09</v>
      </c>
    </row>
    <row r="31" spans="1:14" ht="85.5" customHeight="1">
      <c r="A31" s="52"/>
      <c r="B31" s="10" t="s">
        <v>65</v>
      </c>
      <c r="C31" s="10" t="s">
        <v>12</v>
      </c>
      <c r="D31" s="12">
        <v>975</v>
      </c>
      <c r="E31" s="19" t="s">
        <v>22</v>
      </c>
      <c r="F31" s="20" t="s">
        <v>68</v>
      </c>
      <c r="G31" s="19" t="s">
        <v>214</v>
      </c>
      <c r="H31" s="8">
        <f t="shared" si="3"/>
        <v>850146.82199999993</v>
      </c>
      <c r="I31" s="8">
        <v>141469.29999999999</v>
      </c>
      <c r="J31" s="8">
        <v>149482.4</v>
      </c>
      <c r="K31" s="25">
        <f>142133.572</f>
        <v>142133.57199999999</v>
      </c>
      <c r="L31" s="37">
        <f>139751.8-256.85</f>
        <v>139494.94999999998</v>
      </c>
      <c r="M31" s="8">
        <v>138783.29999999999</v>
      </c>
      <c r="N31" s="8">
        <v>138783.29999999999</v>
      </c>
    </row>
    <row r="32" spans="1:14" ht="165">
      <c r="A32" s="10" t="s">
        <v>66</v>
      </c>
      <c r="B32" s="10" t="s">
        <v>69</v>
      </c>
      <c r="C32" s="10" t="s">
        <v>12</v>
      </c>
      <c r="D32" s="12">
        <v>975</v>
      </c>
      <c r="E32" s="19" t="s">
        <v>145</v>
      </c>
      <c r="F32" s="20" t="s">
        <v>70</v>
      </c>
      <c r="G32" s="19" t="s">
        <v>24</v>
      </c>
      <c r="H32" s="8">
        <f t="shared" si="3"/>
        <v>3182.4</v>
      </c>
      <c r="I32" s="8">
        <v>375.8</v>
      </c>
      <c r="J32" s="8">
        <v>569</v>
      </c>
      <c r="K32" s="25">
        <f>562.1</f>
        <v>562.1</v>
      </c>
      <c r="L32" s="37">
        <v>558.5</v>
      </c>
      <c r="M32" s="8">
        <v>558.5</v>
      </c>
      <c r="N32" s="8">
        <v>558.5</v>
      </c>
    </row>
    <row r="33" spans="1:14" ht="45">
      <c r="A33" s="10" t="s">
        <v>71</v>
      </c>
      <c r="B33" s="10" t="s">
        <v>59</v>
      </c>
      <c r="C33" s="10" t="s">
        <v>12</v>
      </c>
      <c r="D33" s="12">
        <v>975</v>
      </c>
      <c r="E33" s="19" t="s">
        <v>22</v>
      </c>
      <c r="F33" s="20" t="s">
        <v>72</v>
      </c>
      <c r="G33" s="19" t="s">
        <v>24</v>
      </c>
      <c r="H33" s="8">
        <f t="shared" si="3"/>
        <v>6964.8270000000002</v>
      </c>
      <c r="I33" s="8">
        <v>1232.5999999999999</v>
      </c>
      <c r="J33" s="8">
        <v>1180.2</v>
      </c>
      <c r="K33" s="25">
        <f>1130.527</f>
        <v>1130.527</v>
      </c>
      <c r="L33" s="37">
        <v>1140.5</v>
      </c>
      <c r="M33" s="8">
        <v>1140.5</v>
      </c>
      <c r="N33" s="8">
        <v>1140.5</v>
      </c>
    </row>
    <row r="34" spans="1:14" ht="45">
      <c r="A34" s="51" t="s">
        <v>73</v>
      </c>
      <c r="B34" s="10" t="s">
        <v>74</v>
      </c>
      <c r="C34" s="10" t="s">
        <v>12</v>
      </c>
      <c r="D34" s="12">
        <v>975</v>
      </c>
      <c r="E34" s="19" t="s">
        <v>22</v>
      </c>
      <c r="F34" s="20" t="s">
        <v>76</v>
      </c>
      <c r="G34" s="19" t="s">
        <v>215</v>
      </c>
      <c r="H34" s="8">
        <f t="shared" si="3"/>
        <v>7239.4769999999999</v>
      </c>
      <c r="I34" s="8">
        <v>964.4</v>
      </c>
      <c r="J34" s="8">
        <v>3377.9</v>
      </c>
      <c r="K34" s="25">
        <f>1620.681</f>
        <v>1620.681</v>
      </c>
      <c r="L34" s="37">
        <f>607.609+668.887</f>
        <v>1276.4960000000001</v>
      </c>
      <c r="M34" s="8">
        <v>0</v>
      </c>
      <c r="N34" s="8">
        <v>0</v>
      </c>
    </row>
    <row r="35" spans="1:14" ht="60">
      <c r="A35" s="52"/>
      <c r="B35" s="10" t="s">
        <v>75</v>
      </c>
      <c r="C35" s="10" t="s">
        <v>12</v>
      </c>
      <c r="D35" s="12">
        <v>975</v>
      </c>
      <c r="E35" s="19" t="s">
        <v>22</v>
      </c>
      <c r="F35" s="20" t="s">
        <v>77</v>
      </c>
      <c r="G35" s="19" t="s">
        <v>24</v>
      </c>
      <c r="H35" s="8">
        <f t="shared" si="3"/>
        <v>11078</v>
      </c>
      <c r="I35" s="8">
        <v>0</v>
      </c>
      <c r="J35" s="8">
        <v>11078</v>
      </c>
      <c r="K35" s="25">
        <v>0</v>
      </c>
      <c r="L35" s="37">
        <v>0</v>
      </c>
      <c r="M35" s="8">
        <v>0</v>
      </c>
      <c r="N35" s="8">
        <v>0</v>
      </c>
    </row>
    <row r="36" spans="1:14" ht="45">
      <c r="A36" s="10" t="s">
        <v>79</v>
      </c>
      <c r="B36" s="10" t="s">
        <v>217</v>
      </c>
      <c r="C36" s="10" t="s">
        <v>12</v>
      </c>
      <c r="D36" s="12">
        <v>975</v>
      </c>
      <c r="E36" s="19" t="s">
        <v>22</v>
      </c>
      <c r="F36" s="20" t="s">
        <v>78</v>
      </c>
      <c r="G36" s="19" t="s">
        <v>24</v>
      </c>
      <c r="H36" s="8">
        <f t="shared" si="3"/>
        <v>22841.742999999999</v>
      </c>
      <c r="I36" s="8">
        <v>6540.9</v>
      </c>
      <c r="J36" s="8">
        <v>11784.1</v>
      </c>
      <c r="K36" s="25">
        <f>1516.743</f>
        <v>1516.7429999999999</v>
      </c>
      <c r="L36" s="37">
        <f>2341.1-1948.93-392-0.17</f>
        <v>-1.5462631175466868E-13</v>
      </c>
      <c r="M36" s="8">
        <v>1500</v>
      </c>
      <c r="N36" s="8">
        <v>1500</v>
      </c>
    </row>
    <row r="37" spans="1:14" ht="60">
      <c r="A37" s="51" t="s">
        <v>80</v>
      </c>
      <c r="B37" s="10" t="s">
        <v>210</v>
      </c>
      <c r="C37" s="10" t="s">
        <v>12</v>
      </c>
      <c r="D37" s="12">
        <v>975</v>
      </c>
      <c r="E37" s="19" t="s">
        <v>22</v>
      </c>
      <c r="F37" s="20" t="s">
        <v>82</v>
      </c>
      <c r="G37" s="19" t="s">
        <v>24</v>
      </c>
      <c r="H37" s="8">
        <f t="shared" si="3"/>
        <v>6642.9629999999997</v>
      </c>
      <c r="I37" s="8">
        <v>2868.4</v>
      </c>
      <c r="J37" s="8">
        <v>1546.8</v>
      </c>
      <c r="K37" s="25">
        <f>760.68</f>
        <v>760.68</v>
      </c>
      <c r="L37" s="37">
        <f>50+1417.083</f>
        <v>1467.0830000000001</v>
      </c>
      <c r="M37" s="8">
        <v>0</v>
      </c>
      <c r="N37" s="8">
        <v>0</v>
      </c>
    </row>
    <row r="38" spans="1:14" ht="60">
      <c r="A38" s="52"/>
      <c r="B38" s="10" t="s">
        <v>81</v>
      </c>
      <c r="C38" s="10" t="s">
        <v>12</v>
      </c>
      <c r="D38" s="12">
        <v>975</v>
      </c>
      <c r="E38" s="19" t="s">
        <v>22</v>
      </c>
      <c r="F38" s="20" t="s">
        <v>77</v>
      </c>
      <c r="G38" s="19" t="s">
        <v>24</v>
      </c>
      <c r="H38" s="8">
        <f t="shared" si="3"/>
        <v>165.1</v>
      </c>
      <c r="I38" s="8">
        <v>165.1</v>
      </c>
      <c r="J38" s="8">
        <v>0</v>
      </c>
      <c r="K38" s="25">
        <v>0</v>
      </c>
      <c r="L38" s="37">
        <v>0</v>
      </c>
      <c r="M38" s="8">
        <v>0</v>
      </c>
      <c r="N38" s="8">
        <v>0</v>
      </c>
    </row>
    <row r="39" spans="1:14" ht="45">
      <c r="A39" s="10" t="s">
        <v>83</v>
      </c>
      <c r="B39" s="10" t="s">
        <v>218</v>
      </c>
      <c r="C39" s="10" t="s">
        <v>12</v>
      </c>
      <c r="D39" s="12">
        <v>975</v>
      </c>
      <c r="E39" s="19" t="s">
        <v>22</v>
      </c>
      <c r="F39" s="20" t="s">
        <v>84</v>
      </c>
      <c r="G39" s="19" t="s">
        <v>24</v>
      </c>
      <c r="H39" s="8">
        <f t="shared" si="3"/>
        <v>5257.4</v>
      </c>
      <c r="I39" s="8">
        <v>1160</v>
      </c>
      <c r="J39" s="8">
        <v>1195</v>
      </c>
      <c r="K39" s="25">
        <f>1255-150+100</f>
        <v>1205</v>
      </c>
      <c r="L39" s="37">
        <f>1000-302.6</f>
        <v>697.4</v>
      </c>
      <c r="M39" s="8">
        <v>1000</v>
      </c>
      <c r="N39" s="8">
        <v>0</v>
      </c>
    </row>
    <row r="40" spans="1:14" ht="90">
      <c r="A40" s="10" t="s">
        <v>85</v>
      </c>
      <c r="B40" s="10" t="s">
        <v>86</v>
      </c>
      <c r="C40" s="10" t="s">
        <v>12</v>
      </c>
      <c r="D40" s="12">
        <v>975</v>
      </c>
      <c r="E40" s="19" t="s">
        <v>22</v>
      </c>
      <c r="F40" s="20" t="s">
        <v>87</v>
      </c>
      <c r="G40" s="19" t="s">
        <v>88</v>
      </c>
      <c r="H40" s="8">
        <f t="shared" si="3"/>
        <v>0</v>
      </c>
      <c r="I40" s="8">
        <v>0</v>
      </c>
      <c r="J40" s="8">
        <v>0</v>
      </c>
      <c r="K40" s="25">
        <v>0</v>
      </c>
      <c r="L40" s="37">
        <v>0</v>
      </c>
      <c r="M40" s="8">
        <v>0</v>
      </c>
      <c r="N40" s="8">
        <v>0</v>
      </c>
    </row>
    <row r="41" spans="1:14" ht="45">
      <c r="A41" s="10" t="s">
        <v>89</v>
      </c>
      <c r="B41" s="10" t="s">
        <v>74</v>
      </c>
      <c r="C41" s="10" t="s">
        <v>12</v>
      </c>
      <c r="D41" s="12">
        <v>975</v>
      </c>
      <c r="E41" s="19" t="s">
        <v>22</v>
      </c>
      <c r="F41" s="20" t="s">
        <v>90</v>
      </c>
      <c r="G41" s="19" t="s">
        <v>24</v>
      </c>
      <c r="H41" s="8">
        <f t="shared" si="3"/>
        <v>0</v>
      </c>
      <c r="I41" s="8">
        <v>0</v>
      </c>
      <c r="J41" s="8">
        <v>0</v>
      </c>
      <c r="K41" s="25">
        <v>0</v>
      </c>
      <c r="L41" s="37">
        <v>0</v>
      </c>
      <c r="M41" s="8">
        <v>0</v>
      </c>
      <c r="N41" s="8">
        <v>0</v>
      </c>
    </row>
    <row r="42" spans="1:14" ht="45">
      <c r="A42" s="10" t="s">
        <v>91</v>
      </c>
      <c r="B42" s="10" t="s">
        <v>92</v>
      </c>
      <c r="C42" s="10" t="s">
        <v>12</v>
      </c>
      <c r="D42" s="12">
        <v>975</v>
      </c>
      <c r="E42" s="19" t="s">
        <v>22</v>
      </c>
      <c r="F42" s="20" t="s">
        <v>93</v>
      </c>
      <c r="G42" s="19" t="s">
        <v>52</v>
      </c>
      <c r="H42" s="8">
        <f t="shared" si="3"/>
        <v>64.199999999999989</v>
      </c>
      <c r="I42" s="8">
        <v>18.899999999999999</v>
      </c>
      <c r="J42" s="8">
        <v>17.399999999999999</v>
      </c>
      <c r="K42" s="25">
        <v>18.899999999999999</v>
      </c>
      <c r="L42" s="37">
        <v>9</v>
      </c>
      <c r="M42" s="8">
        <v>0</v>
      </c>
      <c r="N42" s="8">
        <v>0</v>
      </c>
    </row>
    <row r="43" spans="1:14" ht="45">
      <c r="A43" s="10" t="s">
        <v>94</v>
      </c>
      <c r="B43" s="10" t="s">
        <v>95</v>
      </c>
      <c r="C43" s="10" t="s">
        <v>12</v>
      </c>
      <c r="D43" s="12">
        <v>975</v>
      </c>
      <c r="E43" s="19" t="s">
        <v>22</v>
      </c>
      <c r="F43" s="20" t="s">
        <v>96</v>
      </c>
      <c r="G43" s="19" t="s">
        <v>52</v>
      </c>
      <c r="H43" s="8">
        <f t="shared" si="3"/>
        <v>0</v>
      </c>
      <c r="I43" s="8">
        <v>0</v>
      </c>
      <c r="J43" s="8">
        <v>0</v>
      </c>
      <c r="K43" s="25">
        <v>0</v>
      </c>
      <c r="L43" s="37">
        <v>0</v>
      </c>
      <c r="M43" s="8">
        <v>0</v>
      </c>
      <c r="N43" s="8">
        <v>0</v>
      </c>
    </row>
    <row r="44" spans="1:14" ht="180">
      <c r="A44" s="10" t="s">
        <v>97</v>
      </c>
      <c r="B44" s="10" t="s">
        <v>202</v>
      </c>
      <c r="C44" s="10" t="s">
        <v>12</v>
      </c>
      <c r="D44" s="12">
        <v>975</v>
      </c>
      <c r="E44" s="19" t="s">
        <v>22</v>
      </c>
      <c r="F44" s="20" t="s">
        <v>98</v>
      </c>
      <c r="G44" s="19" t="s">
        <v>99</v>
      </c>
      <c r="H44" s="8">
        <f t="shared" si="3"/>
        <v>1306.6999999999998</v>
      </c>
      <c r="I44" s="8">
        <v>494.9</v>
      </c>
      <c r="J44" s="8">
        <v>490.9</v>
      </c>
      <c r="K44" s="25">
        <f>320.9</f>
        <v>320.89999999999998</v>
      </c>
      <c r="L44" s="37">
        <v>0</v>
      </c>
      <c r="M44" s="8">
        <v>0</v>
      </c>
      <c r="N44" s="8">
        <v>0</v>
      </c>
    </row>
    <row r="45" spans="1:14" ht="180">
      <c r="A45" s="10" t="s">
        <v>100</v>
      </c>
      <c r="B45" s="10" t="s">
        <v>101</v>
      </c>
      <c r="C45" s="10" t="s">
        <v>12</v>
      </c>
      <c r="D45" s="12">
        <v>975</v>
      </c>
      <c r="E45" s="19" t="s">
        <v>22</v>
      </c>
      <c r="F45" s="20" t="s">
        <v>102</v>
      </c>
      <c r="G45" s="19" t="s">
        <v>103</v>
      </c>
      <c r="H45" s="8">
        <f t="shared" si="3"/>
        <v>376.8</v>
      </c>
      <c r="I45" s="8">
        <v>135</v>
      </c>
      <c r="J45" s="8">
        <v>83.8</v>
      </c>
      <c r="K45" s="25">
        <v>145</v>
      </c>
      <c r="L45" s="37">
        <v>13</v>
      </c>
      <c r="M45" s="8">
        <v>0</v>
      </c>
      <c r="N45" s="8">
        <v>0</v>
      </c>
    </row>
    <row r="46" spans="1:14" ht="60">
      <c r="A46" s="10" t="s">
        <v>208</v>
      </c>
      <c r="B46" s="10" t="s">
        <v>211</v>
      </c>
      <c r="C46" s="10" t="s">
        <v>12</v>
      </c>
      <c r="D46" s="12">
        <v>975</v>
      </c>
      <c r="E46" s="19" t="s">
        <v>22</v>
      </c>
      <c r="F46" s="20" t="s">
        <v>207</v>
      </c>
      <c r="G46" s="19" t="s">
        <v>24</v>
      </c>
      <c r="H46" s="8">
        <f t="shared" si="3"/>
        <v>225</v>
      </c>
      <c r="I46" s="8">
        <v>0</v>
      </c>
      <c r="J46" s="8">
        <v>0</v>
      </c>
      <c r="K46" s="25">
        <f>105+90</f>
        <v>195</v>
      </c>
      <c r="L46" s="37">
        <f>30</f>
        <v>30</v>
      </c>
      <c r="M46" s="8">
        <v>0</v>
      </c>
      <c r="N46" s="8">
        <v>0</v>
      </c>
    </row>
    <row r="47" spans="1:14" ht="33" customHeight="1">
      <c r="A47" s="10" t="s">
        <v>18</v>
      </c>
      <c r="B47" s="53" t="s">
        <v>104</v>
      </c>
      <c r="C47" s="54"/>
      <c r="D47" s="12"/>
      <c r="E47" s="19"/>
      <c r="F47" s="20"/>
      <c r="G47" s="19"/>
      <c r="H47" s="8">
        <f t="shared" si="3"/>
        <v>0</v>
      </c>
      <c r="I47" s="8"/>
      <c r="J47" s="8"/>
      <c r="K47" s="25"/>
      <c r="L47" s="37"/>
      <c r="M47" s="8"/>
      <c r="N47" s="8"/>
    </row>
    <row r="48" spans="1:14" ht="48" customHeight="1">
      <c r="A48" s="51" t="s">
        <v>105</v>
      </c>
      <c r="B48" s="10" t="s">
        <v>106</v>
      </c>
      <c r="C48" s="10" t="s">
        <v>12</v>
      </c>
      <c r="D48" s="12">
        <v>975</v>
      </c>
      <c r="E48" s="19" t="s">
        <v>22</v>
      </c>
      <c r="F48" s="20" t="s">
        <v>109</v>
      </c>
      <c r="G48" s="19" t="s">
        <v>24</v>
      </c>
      <c r="H48" s="8">
        <f t="shared" si="3"/>
        <v>465</v>
      </c>
      <c r="I48" s="8">
        <v>0</v>
      </c>
      <c r="J48" s="8">
        <v>465</v>
      </c>
      <c r="K48" s="25">
        <v>0</v>
      </c>
      <c r="L48" s="37">
        <f>335-335</f>
        <v>0</v>
      </c>
      <c r="M48" s="8">
        <v>0</v>
      </c>
      <c r="N48" s="8">
        <v>0</v>
      </c>
    </row>
    <row r="49" spans="1:14" ht="62.25" customHeight="1">
      <c r="A49" s="55"/>
      <c r="B49" s="10" t="s">
        <v>107</v>
      </c>
      <c r="C49" s="10" t="s">
        <v>12</v>
      </c>
      <c r="D49" s="12">
        <v>975</v>
      </c>
      <c r="E49" s="19" t="s">
        <v>22</v>
      </c>
      <c r="F49" s="20" t="s">
        <v>110</v>
      </c>
      <c r="G49" s="19" t="s">
        <v>24</v>
      </c>
      <c r="H49" s="8">
        <f t="shared" si="3"/>
        <v>756</v>
      </c>
      <c r="I49" s="8">
        <v>0</v>
      </c>
      <c r="J49" s="8">
        <v>756</v>
      </c>
      <c r="K49" s="25">
        <v>0</v>
      </c>
      <c r="L49" s="37">
        <v>0</v>
      </c>
      <c r="M49" s="8">
        <v>0</v>
      </c>
      <c r="N49" s="8">
        <v>0</v>
      </c>
    </row>
    <row r="50" spans="1:14" ht="105">
      <c r="A50" s="52"/>
      <c r="B50" s="10" t="s">
        <v>108</v>
      </c>
      <c r="C50" s="10" t="s">
        <v>12</v>
      </c>
      <c r="D50" s="12">
        <v>975</v>
      </c>
      <c r="E50" s="19" t="s">
        <v>22</v>
      </c>
      <c r="F50" s="20" t="s">
        <v>111</v>
      </c>
      <c r="G50" s="19" t="s">
        <v>24</v>
      </c>
      <c r="H50" s="8">
        <f t="shared" si="3"/>
        <v>400</v>
      </c>
      <c r="I50" s="8">
        <v>0</v>
      </c>
      <c r="J50" s="8">
        <v>400</v>
      </c>
      <c r="K50" s="25">
        <v>0</v>
      </c>
      <c r="L50" s="37">
        <v>0</v>
      </c>
      <c r="M50" s="8">
        <v>0</v>
      </c>
      <c r="N50" s="8">
        <v>0</v>
      </c>
    </row>
    <row r="51" spans="1:14">
      <c r="A51" s="10" t="s">
        <v>18</v>
      </c>
      <c r="B51" s="53" t="s">
        <v>112</v>
      </c>
      <c r="C51" s="54"/>
      <c r="D51" s="12"/>
      <c r="E51" s="19"/>
      <c r="F51" s="20"/>
      <c r="G51" s="19"/>
      <c r="H51" s="8">
        <f t="shared" si="3"/>
        <v>0</v>
      </c>
      <c r="I51" s="8"/>
      <c r="J51" s="8"/>
      <c r="K51" s="25"/>
      <c r="L51" s="37"/>
      <c r="M51" s="8"/>
      <c r="N51" s="8"/>
    </row>
    <row r="52" spans="1:14" ht="106.5" customHeight="1">
      <c r="A52" s="10" t="s">
        <v>113</v>
      </c>
      <c r="B52" s="10" t="s">
        <v>114</v>
      </c>
      <c r="C52" s="10" t="s">
        <v>12</v>
      </c>
      <c r="D52" s="12">
        <v>975</v>
      </c>
      <c r="E52" s="19" t="s">
        <v>22</v>
      </c>
      <c r="F52" s="20" t="s">
        <v>115</v>
      </c>
      <c r="G52" s="19" t="s">
        <v>24</v>
      </c>
      <c r="H52" s="8">
        <f t="shared" si="3"/>
        <v>32682.799999999996</v>
      </c>
      <c r="I52" s="8">
        <v>6727.2</v>
      </c>
      <c r="J52" s="8">
        <v>6619.1</v>
      </c>
      <c r="K52" s="25">
        <v>6280.8</v>
      </c>
      <c r="L52" s="37">
        <f>6148.1-6148.1</f>
        <v>0</v>
      </c>
      <c r="M52" s="8">
        <v>6410.6</v>
      </c>
      <c r="N52" s="8">
        <v>6645.1</v>
      </c>
    </row>
    <row r="53" spans="1:14" ht="106.5" customHeight="1">
      <c r="A53" s="10" t="s">
        <v>226</v>
      </c>
      <c r="B53" s="10" t="s">
        <v>224</v>
      </c>
      <c r="C53" s="10" t="s">
        <v>12</v>
      </c>
      <c r="D53" s="12">
        <v>975</v>
      </c>
      <c r="E53" s="19" t="s">
        <v>22</v>
      </c>
      <c r="F53" s="20" t="s">
        <v>225</v>
      </c>
      <c r="G53" s="19" t="s">
        <v>24</v>
      </c>
      <c r="H53" s="8">
        <f t="shared" si="3"/>
        <v>6148.1</v>
      </c>
      <c r="I53" s="8">
        <v>0</v>
      </c>
      <c r="J53" s="8">
        <v>0</v>
      </c>
      <c r="K53" s="25">
        <v>0</v>
      </c>
      <c r="L53" s="37">
        <v>6148.1</v>
      </c>
      <c r="M53" s="8">
        <v>0</v>
      </c>
      <c r="N53" s="8">
        <v>0</v>
      </c>
    </row>
    <row r="54" spans="1:14" ht="106.5" customHeight="1">
      <c r="A54" s="10" t="s">
        <v>234</v>
      </c>
      <c r="B54" s="10" t="s">
        <v>224</v>
      </c>
      <c r="C54" s="10" t="s">
        <v>12</v>
      </c>
      <c r="D54" s="12">
        <v>975</v>
      </c>
      <c r="E54" s="19" t="s">
        <v>22</v>
      </c>
      <c r="F54" s="20" t="s">
        <v>235</v>
      </c>
      <c r="G54" s="19" t="s">
        <v>24</v>
      </c>
      <c r="H54" s="8">
        <f t="shared" ref="H54" si="5">SUM(I54:N54)</f>
        <v>74.599999999999994</v>
      </c>
      <c r="I54" s="8">
        <v>0</v>
      </c>
      <c r="J54" s="8">
        <v>0</v>
      </c>
      <c r="K54" s="25">
        <v>0</v>
      </c>
      <c r="L54" s="37">
        <v>74.599999999999994</v>
      </c>
      <c r="M54" s="8">
        <v>0</v>
      </c>
      <c r="N54" s="8">
        <v>0</v>
      </c>
    </row>
    <row r="55" spans="1:14" ht="106.5" customHeight="1">
      <c r="A55" s="10" t="s">
        <v>233</v>
      </c>
      <c r="B55" s="10" t="s">
        <v>227</v>
      </c>
      <c r="C55" s="10" t="s">
        <v>12</v>
      </c>
      <c r="D55" s="12">
        <v>975</v>
      </c>
      <c r="E55" s="19" t="s">
        <v>22</v>
      </c>
      <c r="F55" s="20" t="s">
        <v>228</v>
      </c>
      <c r="G55" s="19" t="s">
        <v>24</v>
      </c>
      <c r="H55" s="8">
        <f t="shared" ref="H55" si="6">SUM(I55:N55)</f>
        <v>0</v>
      </c>
      <c r="I55" s="8">
        <v>0</v>
      </c>
      <c r="J55" s="8">
        <v>0</v>
      </c>
      <c r="K55" s="25">
        <v>0</v>
      </c>
      <c r="L55" s="37">
        <f>33.3-33.3</f>
        <v>0</v>
      </c>
      <c r="M55" s="8">
        <v>0</v>
      </c>
      <c r="N55" s="8">
        <v>0</v>
      </c>
    </row>
    <row r="56" spans="1:14" ht="90">
      <c r="A56" s="15" t="s">
        <v>117</v>
      </c>
      <c r="B56" s="15" t="s">
        <v>118</v>
      </c>
      <c r="C56" s="15" t="s">
        <v>16</v>
      </c>
      <c r="D56" s="16"/>
      <c r="E56" s="16"/>
      <c r="F56" s="17" t="s">
        <v>116</v>
      </c>
      <c r="G56" s="16"/>
      <c r="H56" s="34">
        <f t="shared" si="3"/>
        <v>116228.81</v>
      </c>
      <c r="I56" s="22">
        <f>I58+I60+I61+I63+I64+I66+I69+I70+I71+I73+I75+I76+I77+I79+I80+I67+I81+I82</f>
        <v>25267.899999999998</v>
      </c>
      <c r="J56" s="22">
        <f t="shared" ref="J56:N56" si="7">J58+J60+J61+J63+J64+J66+J69+J70+J71+J73+J75+J76+J77+J79+J80+J67+J81+J82</f>
        <v>23319.300000000003</v>
      </c>
      <c r="K56" s="22">
        <f t="shared" si="7"/>
        <v>18178.421999999999</v>
      </c>
      <c r="L56" s="22">
        <f>L58+L60+L61+L63+L64+L66+L69+L70+L71+L73+L75+L76+L77+L79+L80+L67+L81+L82</f>
        <v>17229.187999999998</v>
      </c>
      <c r="M56" s="22">
        <f t="shared" si="7"/>
        <v>16117</v>
      </c>
      <c r="N56" s="22">
        <f t="shared" si="7"/>
        <v>16117</v>
      </c>
    </row>
    <row r="57" spans="1:14" ht="31.5" customHeight="1">
      <c r="A57" s="10" t="s">
        <v>18</v>
      </c>
      <c r="B57" s="53" t="s">
        <v>119</v>
      </c>
      <c r="C57" s="54"/>
      <c r="D57" s="12"/>
      <c r="E57" s="19"/>
      <c r="F57" s="20"/>
      <c r="G57" s="19"/>
      <c r="H57" s="8">
        <f t="shared" si="3"/>
        <v>0</v>
      </c>
      <c r="I57" s="8"/>
      <c r="J57" s="8"/>
      <c r="K57" s="25"/>
      <c r="L57" s="41"/>
      <c r="M57" s="8"/>
      <c r="N57" s="8"/>
    </row>
    <row r="58" spans="1:14" ht="60">
      <c r="A58" s="10" t="s">
        <v>120</v>
      </c>
      <c r="B58" s="10" t="s">
        <v>121</v>
      </c>
      <c r="C58" s="10" t="s">
        <v>12</v>
      </c>
      <c r="D58" s="12">
        <v>975</v>
      </c>
      <c r="E58" s="19" t="s">
        <v>22</v>
      </c>
      <c r="F58" s="20" t="s">
        <v>122</v>
      </c>
      <c r="G58" s="19" t="s">
        <v>52</v>
      </c>
      <c r="H58" s="8">
        <f t="shared" si="3"/>
        <v>18</v>
      </c>
      <c r="I58" s="8">
        <v>6</v>
      </c>
      <c r="J58" s="8">
        <v>6</v>
      </c>
      <c r="K58" s="25">
        <v>6</v>
      </c>
      <c r="L58" s="37">
        <v>0</v>
      </c>
      <c r="M58" s="8">
        <v>0</v>
      </c>
      <c r="N58" s="8">
        <v>0</v>
      </c>
    </row>
    <row r="59" spans="1:14" ht="32.25" customHeight="1">
      <c r="A59" s="10" t="s">
        <v>18</v>
      </c>
      <c r="B59" s="53" t="s">
        <v>124</v>
      </c>
      <c r="C59" s="54"/>
      <c r="D59" s="12"/>
      <c r="E59" s="19"/>
      <c r="F59" s="20"/>
      <c r="G59" s="19"/>
      <c r="H59" s="8">
        <f t="shared" si="3"/>
        <v>0</v>
      </c>
      <c r="I59" s="8"/>
      <c r="J59" s="8"/>
      <c r="K59" s="25"/>
      <c r="L59" s="41"/>
      <c r="M59" s="8"/>
      <c r="N59" s="8"/>
    </row>
    <row r="60" spans="1:14" ht="45">
      <c r="A60" s="10" t="s">
        <v>123</v>
      </c>
      <c r="B60" s="10" t="s">
        <v>126</v>
      </c>
      <c r="C60" s="10" t="s">
        <v>12</v>
      </c>
      <c r="D60" s="12">
        <v>975</v>
      </c>
      <c r="E60" s="19" t="s">
        <v>22</v>
      </c>
      <c r="F60" s="20" t="s">
        <v>125</v>
      </c>
      <c r="G60" s="19" t="s">
        <v>52</v>
      </c>
      <c r="H60" s="8">
        <f t="shared" si="3"/>
        <v>4800</v>
      </c>
      <c r="I60" s="8">
        <v>800</v>
      </c>
      <c r="J60" s="8">
        <v>800</v>
      </c>
      <c r="K60" s="25">
        <v>800</v>
      </c>
      <c r="L60" s="37">
        <v>800</v>
      </c>
      <c r="M60" s="8">
        <v>800</v>
      </c>
      <c r="N60" s="8">
        <v>800</v>
      </c>
    </row>
    <row r="61" spans="1:14" ht="45">
      <c r="A61" s="10" t="s">
        <v>123</v>
      </c>
      <c r="B61" s="10" t="s">
        <v>127</v>
      </c>
      <c r="C61" s="10" t="s">
        <v>12</v>
      </c>
      <c r="D61" s="12">
        <v>975</v>
      </c>
      <c r="E61" s="19" t="s">
        <v>22</v>
      </c>
      <c r="F61" s="20" t="s">
        <v>128</v>
      </c>
      <c r="G61" s="19" t="s">
        <v>52</v>
      </c>
      <c r="H61" s="8">
        <f t="shared" si="3"/>
        <v>18</v>
      </c>
      <c r="I61" s="8">
        <v>9</v>
      </c>
      <c r="J61" s="8">
        <v>9</v>
      </c>
      <c r="K61" s="25">
        <v>0</v>
      </c>
      <c r="L61" s="37">
        <v>0</v>
      </c>
      <c r="M61" s="8">
        <v>0</v>
      </c>
      <c r="N61" s="8">
        <v>0</v>
      </c>
    </row>
    <row r="62" spans="1:14">
      <c r="A62" s="10" t="s">
        <v>18</v>
      </c>
      <c r="B62" s="53" t="s">
        <v>129</v>
      </c>
      <c r="C62" s="54"/>
      <c r="D62" s="12"/>
      <c r="E62" s="19"/>
      <c r="F62" s="20"/>
      <c r="G62" s="19"/>
      <c r="H62" s="8">
        <f t="shared" si="3"/>
        <v>0</v>
      </c>
      <c r="I62" s="8"/>
      <c r="J62" s="8"/>
      <c r="K62" s="25"/>
      <c r="L62" s="41"/>
      <c r="M62" s="8"/>
      <c r="N62" s="8"/>
    </row>
    <row r="63" spans="1:14" ht="45">
      <c r="A63" s="10" t="s">
        <v>130</v>
      </c>
      <c r="B63" s="10" t="s">
        <v>131</v>
      </c>
      <c r="C63" s="10" t="s">
        <v>12</v>
      </c>
      <c r="D63" s="12">
        <v>975</v>
      </c>
      <c r="E63" s="19" t="s">
        <v>22</v>
      </c>
      <c r="F63" s="20" t="s">
        <v>132</v>
      </c>
      <c r="G63" s="19" t="s">
        <v>52</v>
      </c>
      <c r="H63" s="8">
        <f t="shared" si="3"/>
        <v>311.28999999999996</v>
      </c>
      <c r="I63" s="8">
        <v>187.5</v>
      </c>
      <c r="J63" s="8">
        <v>77.400000000000006</v>
      </c>
      <c r="K63" s="25">
        <f>46.39</f>
        <v>46.39</v>
      </c>
      <c r="L63" s="37">
        <v>0</v>
      </c>
      <c r="M63" s="8">
        <v>0</v>
      </c>
      <c r="N63" s="8">
        <v>0</v>
      </c>
    </row>
    <row r="64" spans="1:14" ht="53.25" customHeight="1">
      <c r="A64" s="10" t="s">
        <v>133</v>
      </c>
      <c r="B64" s="10" t="s">
        <v>134</v>
      </c>
      <c r="C64" s="10" t="s">
        <v>12</v>
      </c>
      <c r="D64" s="12">
        <v>975</v>
      </c>
      <c r="E64" s="19" t="s">
        <v>22</v>
      </c>
      <c r="F64" s="20" t="s">
        <v>135</v>
      </c>
      <c r="G64" s="19" t="s">
        <v>52</v>
      </c>
      <c r="H64" s="8">
        <f t="shared" si="3"/>
        <v>0</v>
      </c>
      <c r="I64" s="8">
        <v>0</v>
      </c>
      <c r="J64" s="8">
        <v>0</v>
      </c>
      <c r="K64" s="25">
        <v>0</v>
      </c>
      <c r="L64" s="37">
        <v>0</v>
      </c>
      <c r="M64" s="8">
        <v>0</v>
      </c>
      <c r="N64" s="8">
        <v>0</v>
      </c>
    </row>
    <row r="65" spans="1:14">
      <c r="A65" s="10" t="s">
        <v>18</v>
      </c>
      <c r="B65" s="53" t="s">
        <v>136</v>
      </c>
      <c r="C65" s="54"/>
      <c r="D65" s="12"/>
      <c r="E65" s="19"/>
      <c r="F65" s="20"/>
      <c r="G65" s="19"/>
      <c r="H65" s="8">
        <f t="shared" si="3"/>
        <v>0</v>
      </c>
      <c r="I65" s="8"/>
      <c r="J65" s="8"/>
      <c r="K65" s="25"/>
      <c r="L65" s="41"/>
      <c r="M65" s="8"/>
      <c r="N65" s="8"/>
    </row>
    <row r="66" spans="1:14" ht="165">
      <c r="A66" s="10" t="s">
        <v>138</v>
      </c>
      <c r="B66" s="10" t="s">
        <v>137</v>
      </c>
      <c r="C66" s="10" t="s">
        <v>12</v>
      </c>
      <c r="D66" s="12">
        <v>975</v>
      </c>
      <c r="E66" s="19" t="s">
        <v>22</v>
      </c>
      <c r="F66" s="20" t="s">
        <v>139</v>
      </c>
      <c r="G66" s="19" t="s">
        <v>213</v>
      </c>
      <c r="H66" s="8">
        <f t="shared" si="3"/>
        <v>419.3</v>
      </c>
      <c r="I66" s="8">
        <v>192</v>
      </c>
      <c r="J66" s="8">
        <v>227.3</v>
      </c>
      <c r="K66" s="25">
        <v>0</v>
      </c>
      <c r="L66" s="37">
        <v>0</v>
      </c>
      <c r="M66" s="8">
        <v>0</v>
      </c>
      <c r="N66" s="8">
        <v>0</v>
      </c>
    </row>
    <row r="67" spans="1:14" ht="165.75" customHeight="1">
      <c r="A67" s="10" t="s">
        <v>199</v>
      </c>
      <c r="B67" s="10" t="s">
        <v>200</v>
      </c>
      <c r="C67" s="10" t="s">
        <v>12</v>
      </c>
      <c r="D67" s="12">
        <v>975</v>
      </c>
      <c r="E67" s="19" t="s">
        <v>22</v>
      </c>
      <c r="F67" s="20" t="s">
        <v>159</v>
      </c>
      <c r="G67" s="19" t="s">
        <v>213</v>
      </c>
      <c r="H67" s="8">
        <f t="shared" si="3"/>
        <v>207.04499999999999</v>
      </c>
      <c r="I67" s="8">
        <v>0</v>
      </c>
      <c r="J67" s="8">
        <v>0</v>
      </c>
      <c r="K67" s="25">
        <f>169.045</f>
        <v>169.04499999999999</v>
      </c>
      <c r="L67" s="37">
        <v>38</v>
      </c>
      <c r="M67" s="8">
        <v>0</v>
      </c>
      <c r="N67" s="8">
        <v>0</v>
      </c>
    </row>
    <row r="68" spans="1:14">
      <c r="A68" s="10" t="s">
        <v>18</v>
      </c>
      <c r="B68" s="53" t="s">
        <v>140</v>
      </c>
      <c r="C68" s="54"/>
      <c r="D68" s="12"/>
      <c r="E68" s="19"/>
      <c r="F68" s="20"/>
      <c r="G68" s="19"/>
      <c r="H68" s="8">
        <f t="shared" si="3"/>
        <v>0</v>
      </c>
      <c r="I68" s="8"/>
      <c r="J68" s="8"/>
      <c r="K68" s="25"/>
      <c r="L68" s="41"/>
      <c r="M68" s="8"/>
      <c r="N68" s="8"/>
    </row>
    <row r="69" spans="1:14" ht="60">
      <c r="A69" s="51" t="s">
        <v>141</v>
      </c>
      <c r="B69" s="10" t="s">
        <v>142</v>
      </c>
      <c r="C69" s="10" t="s">
        <v>12</v>
      </c>
      <c r="D69" s="12">
        <v>975</v>
      </c>
      <c r="E69" s="19" t="s">
        <v>145</v>
      </c>
      <c r="F69" s="20" t="s">
        <v>236</v>
      </c>
      <c r="G69" s="19" t="s">
        <v>146</v>
      </c>
      <c r="H69" s="8">
        <f t="shared" si="3"/>
        <v>3611.4999999999995</v>
      </c>
      <c r="I69" s="8">
        <v>1328.2</v>
      </c>
      <c r="J69" s="8">
        <v>761.1</v>
      </c>
      <c r="K69" s="25">
        <v>761.1</v>
      </c>
      <c r="L69" s="37">
        <v>253.7</v>
      </c>
      <c r="M69" s="8">
        <v>253.7</v>
      </c>
      <c r="N69" s="8">
        <v>253.7</v>
      </c>
    </row>
    <row r="70" spans="1:14" ht="59.25" customHeight="1">
      <c r="A70" s="55"/>
      <c r="B70" s="10" t="s">
        <v>143</v>
      </c>
      <c r="C70" s="10" t="s">
        <v>12</v>
      </c>
      <c r="D70" s="12">
        <v>975</v>
      </c>
      <c r="E70" s="19" t="s">
        <v>145</v>
      </c>
      <c r="F70" s="20" t="s">
        <v>219</v>
      </c>
      <c r="G70" s="19" t="s">
        <v>146</v>
      </c>
      <c r="H70" s="8">
        <f t="shared" si="3"/>
        <v>1310.2850000000001</v>
      </c>
      <c r="I70" s="8">
        <v>240</v>
      </c>
      <c r="J70" s="8">
        <v>461.7</v>
      </c>
      <c r="K70" s="25">
        <f>608.585</f>
        <v>608.58500000000004</v>
      </c>
      <c r="L70" s="37">
        <v>0</v>
      </c>
      <c r="M70" s="8">
        <v>0</v>
      </c>
      <c r="N70" s="8">
        <v>0</v>
      </c>
    </row>
    <row r="71" spans="1:14" ht="90">
      <c r="A71" s="52"/>
      <c r="B71" s="10" t="s">
        <v>144</v>
      </c>
      <c r="C71" s="10" t="s">
        <v>12</v>
      </c>
      <c r="D71" s="12">
        <v>975</v>
      </c>
      <c r="E71" s="19" t="s">
        <v>145</v>
      </c>
      <c r="F71" s="20" t="s">
        <v>237</v>
      </c>
      <c r="G71" s="19" t="s">
        <v>146</v>
      </c>
      <c r="H71" s="8">
        <f t="shared" si="3"/>
        <v>3126.5499999999997</v>
      </c>
      <c r="I71" s="8">
        <v>770.9</v>
      </c>
      <c r="J71" s="8">
        <v>745.9</v>
      </c>
      <c r="K71" s="25">
        <f>885.614</f>
        <v>885.61400000000003</v>
      </c>
      <c r="L71" s="37">
        <f>198.994+525.142</f>
        <v>724.13600000000008</v>
      </c>
      <c r="M71" s="8">
        <v>0</v>
      </c>
      <c r="N71" s="8">
        <v>0</v>
      </c>
    </row>
    <row r="72" spans="1:14">
      <c r="A72" s="10" t="s">
        <v>18</v>
      </c>
      <c r="B72" s="53" t="s">
        <v>147</v>
      </c>
      <c r="C72" s="54"/>
      <c r="D72" s="12"/>
      <c r="E72" s="19"/>
      <c r="F72" s="20"/>
      <c r="G72" s="19"/>
      <c r="H72" s="8">
        <f t="shared" si="3"/>
        <v>0</v>
      </c>
      <c r="I72" s="8"/>
      <c r="J72" s="8"/>
      <c r="K72" s="25"/>
      <c r="L72" s="41"/>
      <c r="M72" s="8"/>
      <c r="N72" s="8"/>
    </row>
    <row r="73" spans="1:14" ht="60">
      <c r="A73" s="10" t="s">
        <v>148</v>
      </c>
      <c r="B73" s="10" t="s">
        <v>149</v>
      </c>
      <c r="C73" s="10" t="s">
        <v>12</v>
      </c>
      <c r="D73" s="12">
        <v>975</v>
      </c>
      <c r="E73" s="19" t="s">
        <v>22</v>
      </c>
      <c r="F73" s="20" t="s">
        <v>150</v>
      </c>
      <c r="G73" s="19" t="s">
        <v>24</v>
      </c>
      <c r="H73" s="8">
        <f t="shared" si="3"/>
        <v>98619.552000000011</v>
      </c>
      <c r="I73" s="8">
        <v>19814.099999999999</v>
      </c>
      <c r="J73" s="8">
        <v>19109.900000000001</v>
      </c>
      <c r="K73" s="25">
        <f>14598.934</f>
        <v>14598.933999999999</v>
      </c>
      <c r="L73" s="37">
        <f>15053.7+12.4-126.082+30</f>
        <v>14970.018</v>
      </c>
      <c r="M73" s="8">
        <f>15050.9+12.4</f>
        <v>15063.3</v>
      </c>
      <c r="N73" s="8">
        <f>15050.9+12.4</f>
        <v>15063.3</v>
      </c>
    </row>
    <row r="74" spans="1:14">
      <c r="A74" s="10" t="s">
        <v>18</v>
      </c>
      <c r="B74" s="53" t="s">
        <v>147</v>
      </c>
      <c r="C74" s="54"/>
      <c r="D74" s="12"/>
      <c r="E74" s="19"/>
      <c r="F74" s="20"/>
      <c r="G74" s="19"/>
      <c r="H74" s="8">
        <f t="shared" si="3"/>
        <v>0</v>
      </c>
      <c r="I74" s="8"/>
      <c r="J74" s="8"/>
      <c r="K74" s="25"/>
      <c r="L74" s="41"/>
      <c r="M74" s="8"/>
      <c r="N74" s="8"/>
    </row>
    <row r="75" spans="1:14" ht="45.75" customHeight="1">
      <c r="A75" s="10" t="s">
        <v>151</v>
      </c>
      <c r="B75" s="10" t="s">
        <v>152</v>
      </c>
      <c r="C75" s="10" t="s">
        <v>12</v>
      </c>
      <c r="D75" s="12">
        <v>975</v>
      </c>
      <c r="E75" s="19" t="s">
        <v>22</v>
      </c>
      <c r="F75" s="20" t="s">
        <v>153</v>
      </c>
      <c r="G75" s="19" t="s">
        <v>24</v>
      </c>
      <c r="H75" s="8">
        <f t="shared" si="3"/>
        <v>1046</v>
      </c>
      <c r="I75" s="8">
        <v>0</v>
      </c>
      <c r="J75" s="8">
        <v>1046</v>
      </c>
      <c r="K75" s="25">
        <v>0</v>
      </c>
      <c r="L75" s="37">
        <v>0</v>
      </c>
      <c r="M75" s="8">
        <v>0</v>
      </c>
      <c r="N75" s="8">
        <v>0</v>
      </c>
    </row>
    <row r="76" spans="1:14" ht="45">
      <c r="A76" s="10" t="s">
        <v>154</v>
      </c>
      <c r="B76" s="10" t="s">
        <v>155</v>
      </c>
      <c r="C76" s="10" t="s">
        <v>12</v>
      </c>
      <c r="D76" s="12">
        <v>975</v>
      </c>
      <c r="E76" s="19" t="s">
        <v>22</v>
      </c>
      <c r="F76" s="20" t="s">
        <v>156</v>
      </c>
      <c r="G76" s="19" t="s">
        <v>24</v>
      </c>
      <c r="H76" s="8">
        <f t="shared" si="3"/>
        <v>615</v>
      </c>
      <c r="I76" s="8">
        <v>115</v>
      </c>
      <c r="J76" s="8">
        <v>75</v>
      </c>
      <c r="K76" s="25">
        <f>140-15</f>
        <v>125</v>
      </c>
      <c r="L76" s="37">
        <v>300</v>
      </c>
      <c r="M76" s="8">
        <v>0</v>
      </c>
      <c r="N76" s="8">
        <v>0</v>
      </c>
    </row>
    <row r="77" spans="1:14" ht="45">
      <c r="A77" s="10" t="s">
        <v>157</v>
      </c>
      <c r="B77" s="10" t="s">
        <v>158</v>
      </c>
      <c r="C77" s="10" t="s">
        <v>12</v>
      </c>
      <c r="D77" s="12">
        <v>975</v>
      </c>
      <c r="E77" s="19" t="s">
        <v>22</v>
      </c>
      <c r="F77" s="20" t="s">
        <v>222</v>
      </c>
      <c r="G77" s="19" t="s">
        <v>24</v>
      </c>
      <c r="H77" s="8">
        <f t="shared" si="3"/>
        <v>390.86899999999997</v>
      </c>
      <c r="I77" s="8">
        <v>179.2</v>
      </c>
      <c r="J77" s="8">
        <v>0</v>
      </c>
      <c r="K77" s="25">
        <f>111.669</f>
        <v>111.669</v>
      </c>
      <c r="L77" s="37">
        <v>100</v>
      </c>
      <c r="M77" s="8">
        <v>0</v>
      </c>
      <c r="N77" s="8">
        <v>0</v>
      </c>
    </row>
    <row r="78" spans="1:14" ht="31.5" customHeight="1">
      <c r="A78" s="10" t="s">
        <v>18</v>
      </c>
      <c r="B78" s="53" t="s">
        <v>160</v>
      </c>
      <c r="C78" s="54"/>
      <c r="D78" s="12"/>
      <c r="E78" s="19"/>
      <c r="F78" s="20"/>
      <c r="G78" s="19"/>
      <c r="H78" s="8">
        <f t="shared" si="3"/>
        <v>0</v>
      </c>
      <c r="I78" s="8"/>
      <c r="J78" s="8"/>
      <c r="K78" s="25"/>
      <c r="L78" s="41"/>
      <c r="M78" s="8"/>
      <c r="N78" s="8"/>
    </row>
    <row r="79" spans="1:14" ht="90">
      <c r="A79" s="51" t="s">
        <v>229</v>
      </c>
      <c r="B79" s="10" t="s">
        <v>161</v>
      </c>
      <c r="C79" s="10" t="s">
        <v>12</v>
      </c>
      <c r="D79" s="12">
        <v>975</v>
      </c>
      <c r="E79" s="19" t="s">
        <v>22</v>
      </c>
      <c r="F79" s="20" t="s">
        <v>163</v>
      </c>
      <c r="G79" s="19" t="s">
        <v>24</v>
      </c>
      <c r="H79" s="8">
        <f t="shared" si="3"/>
        <v>290.5</v>
      </c>
      <c r="I79" s="8">
        <v>290.5</v>
      </c>
      <c r="J79" s="8">
        <v>0</v>
      </c>
      <c r="K79" s="25">
        <v>0</v>
      </c>
      <c r="L79" s="37">
        <v>0</v>
      </c>
      <c r="M79" s="8">
        <v>0</v>
      </c>
      <c r="N79" s="8">
        <v>0</v>
      </c>
    </row>
    <row r="80" spans="1:14" ht="75">
      <c r="A80" s="52"/>
      <c r="B80" s="10" t="s">
        <v>162</v>
      </c>
      <c r="C80" s="10" t="s">
        <v>12</v>
      </c>
      <c r="D80" s="12">
        <v>975</v>
      </c>
      <c r="E80" s="19" t="s">
        <v>22</v>
      </c>
      <c r="F80" s="20" t="s">
        <v>164</v>
      </c>
      <c r="G80" s="19" t="s">
        <v>24</v>
      </c>
      <c r="H80" s="8">
        <f t="shared" si="3"/>
        <v>1335.5</v>
      </c>
      <c r="I80" s="8">
        <v>1335.5</v>
      </c>
      <c r="J80" s="8">
        <v>0</v>
      </c>
      <c r="K80" s="25">
        <v>0</v>
      </c>
      <c r="L80" s="37">
        <v>0</v>
      </c>
      <c r="M80" s="8">
        <v>0</v>
      </c>
      <c r="N80" s="8">
        <v>0</v>
      </c>
    </row>
    <row r="81" spans="1:14" ht="45">
      <c r="A81" s="32" t="s">
        <v>230</v>
      </c>
      <c r="B81" s="10" t="s">
        <v>220</v>
      </c>
      <c r="C81" s="10" t="s">
        <v>12</v>
      </c>
      <c r="D81" s="12">
        <v>975</v>
      </c>
      <c r="E81" s="19" t="s">
        <v>22</v>
      </c>
      <c r="F81" s="20" t="s">
        <v>216</v>
      </c>
      <c r="G81" s="19" t="s">
        <v>24</v>
      </c>
      <c r="H81" s="8">
        <f t="shared" si="3"/>
        <v>76.084999999999994</v>
      </c>
      <c r="I81" s="8">
        <v>0</v>
      </c>
      <c r="J81" s="8">
        <v>0</v>
      </c>
      <c r="K81" s="25">
        <f>66.085</f>
        <v>66.084999999999994</v>
      </c>
      <c r="L81" s="37">
        <v>10</v>
      </c>
      <c r="M81" s="8">
        <v>0</v>
      </c>
      <c r="N81" s="8">
        <v>0</v>
      </c>
    </row>
    <row r="82" spans="1:14" ht="45">
      <c r="A82" s="36" t="s">
        <v>231</v>
      </c>
      <c r="B82" s="10" t="s">
        <v>227</v>
      </c>
      <c r="C82" s="10" t="s">
        <v>12</v>
      </c>
      <c r="D82" s="12">
        <v>975</v>
      </c>
      <c r="E82" s="19" t="s">
        <v>22</v>
      </c>
      <c r="F82" s="20" t="s">
        <v>232</v>
      </c>
      <c r="G82" s="19" t="s">
        <v>24</v>
      </c>
      <c r="H82" s="8">
        <f t="shared" ref="H82" si="8">SUM(I82:N82)</f>
        <v>33.333999999999996</v>
      </c>
      <c r="I82" s="8">
        <v>0</v>
      </c>
      <c r="J82" s="8">
        <v>0</v>
      </c>
      <c r="K82" s="25">
        <v>0</v>
      </c>
      <c r="L82" s="37">
        <f>33.3+0.034</f>
        <v>33.333999999999996</v>
      </c>
      <c r="M82" s="8">
        <v>0</v>
      </c>
      <c r="N82" s="8">
        <v>0</v>
      </c>
    </row>
    <row r="83" spans="1:14" ht="90">
      <c r="A83" s="15" t="s">
        <v>165</v>
      </c>
      <c r="B83" s="15" t="s">
        <v>166</v>
      </c>
      <c r="C83" s="15" t="s">
        <v>16</v>
      </c>
      <c r="D83" s="16"/>
      <c r="E83" s="16"/>
      <c r="F83" s="17" t="s">
        <v>167</v>
      </c>
      <c r="G83" s="16"/>
      <c r="H83" s="34">
        <f t="shared" si="3"/>
        <v>11097.156999999999</v>
      </c>
      <c r="I83" s="22">
        <f>I85+I86+I87</f>
        <v>1415.6</v>
      </c>
      <c r="J83" s="22">
        <f t="shared" ref="J83:M83" si="9">J85+J86+J87</f>
        <v>2186.5</v>
      </c>
      <c r="K83" s="23">
        <f t="shared" si="9"/>
        <v>1687.817</v>
      </c>
      <c r="L83" s="22">
        <f t="shared" si="9"/>
        <v>1918.24</v>
      </c>
      <c r="M83" s="22">
        <f t="shared" si="9"/>
        <v>1944.5</v>
      </c>
      <c r="N83" s="22">
        <f t="shared" ref="N83" si="10">N85+N86+N87</f>
        <v>1944.5</v>
      </c>
    </row>
    <row r="84" spans="1:14" ht="30" customHeight="1">
      <c r="A84" s="10" t="s">
        <v>18</v>
      </c>
      <c r="B84" s="53" t="s">
        <v>166</v>
      </c>
      <c r="C84" s="54"/>
      <c r="D84" s="12"/>
      <c r="E84" s="19"/>
      <c r="F84" s="20"/>
      <c r="G84" s="19"/>
      <c r="H84" s="8">
        <f t="shared" si="3"/>
        <v>0</v>
      </c>
      <c r="I84" s="8"/>
      <c r="J84" s="8"/>
      <c r="K84" s="25"/>
      <c r="L84" s="37"/>
      <c r="M84" s="8"/>
      <c r="N84" s="8"/>
    </row>
    <row r="85" spans="1:14" ht="45" customHeight="1">
      <c r="A85" s="51" t="s">
        <v>168</v>
      </c>
      <c r="B85" s="10" t="s">
        <v>221</v>
      </c>
      <c r="C85" s="10" t="s">
        <v>12</v>
      </c>
      <c r="D85" s="12">
        <v>975</v>
      </c>
      <c r="E85" s="19" t="s">
        <v>22</v>
      </c>
      <c r="F85" s="20" t="s">
        <v>169</v>
      </c>
      <c r="G85" s="19" t="s">
        <v>175</v>
      </c>
      <c r="H85" s="8">
        <f t="shared" si="3"/>
        <v>4582.7260000000006</v>
      </c>
      <c r="I85" s="8">
        <v>350</v>
      </c>
      <c r="J85" s="8">
        <v>660.7</v>
      </c>
      <c r="K85" s="25">
        <f>862.135</f>
        <v>862.13499999999999</v>
      </c>
      <c r="L85" s="37">
        <f>862+98.32-15.9+41.471</f>
        <v>985.89099999999996</v>
      </c>
      <c r="M85" s="8">
        <v>862</v>
      </c>
      <c r="N85" s="8">
        <v>862</v>
      </c>
    </row>
    <row r="86" spans="1:14" ht="53.25" customHeight="1">
      <c r="A86" s="52"/>
      <c r="B86" s="10" t="s">
        <v>172</v>
      </c>
      <c r="C86" s="10" t="s">
        <v>12</v>
      </c>
      <c r="D86" s="12">
        <v>975</v>
      </c>
      <c r="E86" s="19" t="s">
        <v>22</v>
      </c>
      <c r="F86" s="20" t="s">
        <v>170</v>
      </c>
      <c r="G86" s="19" t="s">
        <v>24</v>
      </c>
      <c r="H86" s="8">
        <f t="shared" si="3"/>
        <v>4495.8150000000005</v>
      </c>
      <c r="I86" s="8">
        <v>707.8</v>
      </c>
      <c r="J86" s="8">
        <v>851.8</v>
      </c>
      <c r="K86" s="25">
        <v>729</v>
      </c>
      <c r="L86" s="37">
        <f>715.9-142.4+144.715</f>
        <v>718.21500000000003</v>
      </c>
      <c r="M86" s="8">
        <v>744.5</v>
      </c>
      <c r="N86" s="8">
        <v>744.5</v>
      </c>
    </row>
    <row r="87" spans="1:14" ht="45">
      <c r="A87" s="10" t="s">
        <v>171</v>
      </c>
      <c r="B87" s="10" t="s">
        <v>173</v>
      </c>
      <c r="C87" s="10" t="s">
        <v>12</v>
      </c>
      <c r="D87" s="12">
        <v>975</v>
      </c>
      <c r="E87" s="19" t="s">
        <v>22</v>
      </c>
      <c r="F87" s="20" t="s">
        <v>174</v>
      </c>
      <c r="G87" s="19" t="s">
        <v>53</v>
      </c>
      <c r="H87" s="8">
        <f t="shared" si="3"/>
        <v>2018.616</v>
      </c>
      <c r="I87" s="8">
        <v>357.8</v>
      </c>
      <c r="J87" s="8">
        <v>674</v>
      </c>
      <c r="K87" s="25">
        <f>96.682</f>
        <v>96.682000000000002</v>
      </c>
      <c r="L87" s="37">
        <f>338-98.32-25.546</f>
        <v>214.13400000000001</v>
      </c>
      <c r="M87" s="8">
        <v>338</v>
      </c>
      <c r="N87" s="8">
        <v>338</v>
      </c>
    </row>
    <row r="88" spans="1:14" ht="90">
      <c r="A88" s="15" t="s">
        <v>176</v>
      </c>
      <c r="B88" s="15" t="s">
        <v>177</v>
      </c>
      <c r="C88" s="15" t="s">
        <v>16</v>
      </c>
      <c r="D88" s="16"/>
      <c r="E88" s="16"/>
      <c r="F88" s="17" t="s">
        <v>178</v>
      </c>
      <c r="G88" s="16"/>
      <c r="H88" s="8">
        <f t="shared" si="3"/>
        <v>172.79999999999998</v>
      </c>
      <c r="I88" s="22">
        <f>I90+I92</f>
        <v>48.6</v>
      </c>
      <c r="J88" s="22">
        <f t="shared" ref="J88:M88" si="11">J90+J92</f>
        <v>45.599999999999994</v>
      </c>
      <c r="K88" s="23">
        <f t="shared" si="11"/>
        <v>53.6</v>
      </c>
      <c r="L88" s="22">
        <f t="shared" si="11"/>
        <v>25</v>
      </c>
      <c r="M88" s="22">
        <f t="shared" si="11"/>
        <v>0</v>
      </c>
      <c r="N88" s="22">
        <f t="shared" ref="N88" si="12">N90+N92</f>
        <v>0</v>
      </c>
    </row>
    <row r="89" spans="1:14" ht="31.5" customHeight="1">
      <c r="A89" s="10" t="s">
        <v>18</v>
      </c>
      <c r="B89" s="53" t="s">
        <v>179</v>
      </c>
      <c r="C89" s="54"/>
      <c r="D89" s="12"/>
      <c r="E89" s="19"/>
      <c r="F89" s="20"/>
      <c r="G89" s="19"/>
      <c r="H89" s="8">
        <f t="shared" si="3"/>
        <v>0</v>
      </c>
      <c r="I89" s="8"/>
      <c r="J89" s="8"/>
      <c r="K89" s="25"/>
      <c r="L89" s="37"/>
      <c r="M89" s="8"/>
      <c r="N89" s="8"/>
    </row>
    <row r="90" spans="1:14" ht="45">
      <c r="A90" s="10" t="s">
        <v>181</v>
      </c>
      <c r="B90" s="10" t="s">
        <v>180</v>
      </c>
      <c r="C90" s="10" t="s">
        <v>12</v>
      </c>
      <c r="D90" s="12">
        <v>975</v>
      </c>
      <c r="E90" s="19" t="s">
        <v>22</v>
      </c>
      <c r="F90" s="20" t="s">
        <v>182</v>
      </c>
      <c r="G90" s="19" t="s">
        <v>183</v>
      </c>
      <c r="H90" s="8">
        <f t="shared" si="3"/>
        <v>96.9</v>
      </c>
      <c r="I90" s="8">
        <v>27.5</v>
      </c>
      <c r="J90" s="8">
        <v>24.9</v>
      </c>
      <c r="K90" s="25">
        <f>32.5</f>
        <v>32.5</v>
      </c>
      <c r="L90" s="37">
        <v>12</v>
      </c>
      <c r="M90" s="8">
        <v>0</v>
      </c>
      <c r="N90" s="8">
        <v>0</v>
      </c>
    </row>
    <row r="91" spans="1:14" ht="46.5" customHeight="1">
      <c r="A91" s="10" t="s">
        <v>18</v>
      </c>
      <c r="B91" s="53" t="s">
        <v>184</v>
      </c>
      <c r="C91" s="54"/>
      <c r="D91" s="12"/>
      <c r="E91" s="19"/>
      <c r="F91" s="20"/>
      <c r="G91" s="19"/>
      <c r="H91" s="8">
        <f t="shared" si="3"/>
        <v>0</v>
      </c>
      <c r="I91" s="8"/>
      <c r="J91" s="8"/>
      <c r="K91" s="25"/>
      <c r="L91" s="37"/>
      <c r="M91" s="8"/>
      <c r="N91" s="8"/>
    </row>
    <row r="92" spans="1:14" ht="45">
      <c r="A92" s="10" t="s">
        <v>185</v>
      </c>
      <c r="B92" s="10" t="s">
        <v>186</v>
      </c>
      <c r="C92" s="10" t="s">
        <v>12</v>
      </c>
      <c r="D92" s="12">
        <v>975</v>
      </c>
      <c r="E92" s="19" t="s">
        <v>22</v>
      </c>
      <c r="F92" s="20" t="s">
        <v>203</v>
      </c>
      <c r="G92" s="19" t="s">
        <v>183</v>
      </c>
      <c r="H92" s="8">
        <f t="shared" si="3"/>
        <v>75.900000000000006</v>
      </c>
      <c r="I92" s="8">
        <v>21.1</v>
      </c>
      <c r="J92" s="8">
        <v>20.7</v>
      </c>
      <c r="K92" s="25">
        <v>21.1</v>
      </c>
      <c r="L92" s="37">
        <v>13</v>
      </c>
      <c r="M92" s="8">
        <v>0</v>
      </c>
      <c r="N92" s="8">
        <v>0</v>
      </c>
    </row>
    <row r="93" spans="1:14" ht="90">
      <c r="A93" s="15" t="s">
        <v>187</v>
      </c>
      <c r="B93" s="15" t="s">
        <v>188</v>
      </c>
      <c r="C93" s="15" t="s">
        <v>16</v>
      </c>
      <c r="D93" s="16"/>
      <c r="E93" s="16"/>
      <c r="F93" s="17" t="s">
        <v>189</v>
      </c>
      <c r="G93" s="16"/>
      <c r="H93" s="34">
        <f t="shared" si="3"/>
        <v>101670.04399999999</v>
      </c>
      <c r="I93" s="22">
        <f>I95+I96</f>
        <v>14457.8</v>
      </c>
      <c r="J93" s="22">
        <f t="shared" ref="J93:M93" si="13">J95+J96</f>
        <v>17711</v>
      </c>
      <c r="K93" s="23">
        <f t="shared" si="13"/>
        <v>18075.885999999999</v>
      </c>
      <c r="L93" s="22">
        <f t="shared" si="13"/>
        <v>17158.186000000002</v>
      </c>
      <c r="M93" s="22">
        <f t="shared" si="13"/>
        <v>17193.585999999999</v>
      </c>
      <c r="N93" s="22">
        <f t="shared" ref="N93" si="14">N95+N96</f>
        <v>17073.585999999999</v>
      </c>
    </row>
    <row r="94" spans="1:14" ht="32.25" customHeight="1">
      <c r="A94" s="10" t="s">
        <v>18</v>
      </c>
      <c r="B94" s="53" t="s">
        <v>190</v>
      </c>
      <c r="C94" s="54"/>
      <c r="D94" s="12"/>
      <c r="E94" s="19"/>
      <c r="F94" s="20"/>
      <c r="G94" s="19"/>
      <c r="H94" s="8">
        <f t="shared" si="3"/>
        <v>0</v>
      </c>
      <c r="I94" s="8"/>
      <c r="J94" s="8"/>
      <c r="K94" s="25"/>
      <c r="L94" s="37"/>
      <c r="M94" s="8"/>
      <c r="N94" s="8"/>
    </row>
    <row r="95" spans="1:14" ht="45">
      <c r="A95" s="10" t="s">
        <v>191</v>
      </c>
      <c r="B95" s="10" t="s">
        <v>193</v>
      </c>
      <c r="C95" s="10" t="s">
        <v>12</v>
      </c>
      <c r="D95" s="12">
        <v>975</v>
      </c>
      <c r="E95" s="19" t="s">
        <v>22</v>
      </c>
      <c r="F95" s="20" t="s">
        <v>195</v>
      </c>
      <c r="G95" s="19" t="s">
        <v>196</v>
      </c>
      <c r="H95" s="8">
        <f t="shared" ref="H95:H96" si="15">SUM(I95:N95)</f>
        <v>90055.443999999989</v>
      </c>
      <c r="I95" s="8">
        <v>2843.2</v>
      </c>
      <c r="J95" s="8">
        <v>17711</v>
      </c>
      <c r="K95" s="25">
        <f>18075.886</f>
        <v>18075.885999999999</v>
      </c>
      <c r="L95" s="37">
        <f>17123.686+34.5</f>
        <v>17158.186000000002</v>
      </c>
      <c r="M95" s="8">
        <v>17193.585999999999</v>
      </c>
      <c r="N95" s="8">
        <v>17073.585999999999</v>
      </c>
    </row>
    <row r="96" spans="1:14" ht="52.5" customHeight="1">
      <c r="A96" s="10" t="s">
        <v>192</v>
      </c>
      <c r="B96" s="10" t="s">
        <v>194</v>
      </c>
      <c r="C96" s="10" t="s">
        <v>12</v>
      </c>
      <c r="D96" s="12">
        <v>975</v>
      </c>
      <c r="E96" s="19" t="s">
        <v>22</v>
      </c>
      <c r="F96" s="20" t="s">
        <v>197</v>
      </c>
      <c r="G96" s="19" t="s">
        <v>196</v>
      </c>
      <c r="H96" s="8">
        <f t="shared" si="15"/>
        <v>11614.6</v>
      </c>
      <c r="I96" s="8">
        <v>11614.6</v>
      </c>
      <c r="J96" s="8">
        <v>0</v>
      </c>
      <c r="K96" s="25">
        <v>0</v>
      </c>
      <c r="L96" s="37">
        <v>0</v>
      </c>
      <c r="M96" s="8">
        <v>0</v>
      </c>
      <c r="N96" s="8">
        <v>0</v>
      </c>
    </row>
  </sheetData>
  <mergeCells count="37">
    <mergeCell ref="A30:A31"/>
    <mergeCell ref="D7:G7"/>
    <mergeCell ref="A34:A35"/>
    <mergeCell ref="B17:C17"/>
    <mergeCell ref="B11:C11"/>
    <mergeCell ref="A12:A13"/>
    <mergeCell ref="A14:A15"/>
    <mergeCell ref="A7:A8"/>
    <mergeCell ref="B7:B8"/>
    <mergeCell ref="A20:A21"/>
    <mergeCell ref="B22:C22"/>
    <mergeCell ref="B94:C94"/>
    <mergeCell ref="A79:A80"/>
    <mergeCell ref="B84:C84"/>
    <mergeCell ref="A85:A86"/>
    <mergeCell ref="B89:C89"/>
    <mergeCell ref="B91:C91"/>
    <mergeCell ref="B78:C78"/>
    <mergeCell ref="B47:C47"/>
    <mergeCell ref="A48:A50"/>
    <mergeCell ref="B51:C51"/>
    <mergeCell ref="B57:C57"/>
    <mergeCell ref="B59:C59"/>
    <mergeCell ref="B62:C62"/>
    <mergeCell ref="B74:C74"/>
    <mergeCell ref="A37:A38"/>
    <mergeCell ref="B65:C65"/>
    <mergeCell ref="B68:C68"/>
    <mergeCell ref="A69:A71"/>
    <mergeCell ref="B72:C72"/>
    <mergeCell ref="J1:N1"/>
    <mergeCell ref="J2:N2"/>
    <mergeCell ref="H7:N7"/>
    <mergeCell ref="J3:N3"/>
    <mergeCell ref="A5:N5"/>
    <mergeCell ref="C7:C8"/>
    <mergeCell ref="J4:N4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2017-06-05T05:23:54Z</dcterms:modified>
</cp:coreProperties>
</file>