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L101" i="1"/>
  <c r="L93"/>
  <c r="L91"/>
  <c r="L82"/>
  <c r="J59"/>
  <c r="K59"/>
  <c r="L59"/>
  <c r="M59"/>
  <c r="N59"/>
  <c r="I59"/>
  <c r="H77"/>
  <c r="H78"/>
  <c r="L76"/>
  <c r="L42"/>
  <c r="L40"/>
  <c r="L30" s="1"/>
  <c r="J30"/>
  <c r="K30"/>
  <c r="M30"/>
  <c r="N30"/>
  <c r="I30"/>
  <c r="H37"/>
  <c r="H38"/>
  <c r="L35"/>
  <c r="L31"/>
  <c r="J10"/>
  <c r="K10"/>
  <c r="L10"/>
  <c r="M10"/>
  <c r="N10"/>
  <c r="I10"/>
  <c r="H29"/>
  <c r="L26"/>
  <c r="L20"/>
  <c r="L19"/>
  <c r="L18"/>
  <c r="L12"/>
  <c r="L96"/>
  <c r="H88"/>
  <c r="L69"/>
  <c r="L45"/>
  <c r="L92" l="1"/>
  <c r="L87"/>
  <c r="H87" s="1"/>
  <c r="L74"/>
  <c r="L58"/>
  <c r="L49"/>
  <c r="L39"/>
  <c r="L32"/>
  <c r="L13"/>
  <c r="H57"/>
  <c r="H58"/>
  <c r="H56"/>
  <c r="L55"/>
  <c r="L51"/>
  <c r="N76"/>
  <c r="M76"/>
  <c r="N31" l="1"/>
  <c r="M31"/>
  <c r="N12"/>
  <c r="M12"/>
  <c r="H102" l="1"/>
  <c r="H100"/>
  <c r="H98"/>
  <c r="H97"/>
  <c r="H95"/>
  <c r="H92"/>
  <c r="H90"/>
  <c r="H85"/>
  <c r="H84"/>
  <c r="H83"/>
  <c r="H80"/>
  <c r="H79"/>
  <c r="H75"/>
  <c r="H72"/>
  <c r="H71"/>
  <c r="H69"/>
  <c r="H68"/>
  <c r="H67"/>
  <c r="H65"/>
  <c r="H64"/>
  <c r="H63"/>
  <c r="H62"/>
  <c r="H61"/>
  <c r="H60"/>
  <c r="H55"/>
  <c r="H54"/>
  <c r="H53"/>
  <c r="H52"/>
  <c r="H51"/>
  <c r="H50"/>
  <c r="H48"/>
  <c r="H46"/>
  <c r="H45"/>
  <c r="H44"/>
  <c r="H43"/>
  <c r="H41"/>
  <c r="H36"/>
  <c r="H25"/>
  <c r="H23"/>
  <c r="H21"/>
  <c r="H15"/>
  <c r="H14"/>
  <c r="N99"/>
  <c r="N94"/>
  <c r="N89"/>
  <c r="N9" l="1"/>
  <c r="K101" l="1"/>
  <c r="H101" s="1"/>
  <c r="K96"/>
  <c r="H96" s="1"/>
  <c r="K93"/>
  <c r="H93" s="1"/>
  <c r="K86"/>
  <c r="H86" s="1"/>
  <c r="K82"/>
  <c r="H82" s="1"/>
  <c r="K76"/>
  <c r="H76" s="1"/>
  <c r="K74"/>
  <c r="H74" s="1"/>
  <c r="K73"/>
  <c r="H73" s="1"/>
  <c r="K70"/>
  <c r="H70" s="1"/>
  <c r="K66"/>
  <c r="K47"/>
  <c r="H47" s="1"/>
  <c r="K40"/>
  <c r="H40" s="1"/>
  <c r="K39"/>
  <c r="H39" s="1"/>
  <c r="K35"/>
  <c r="H35" s="1"/>
  <c r="K34"/>
  <c r="H34" s="1"/>
  <c r="K33"/>
  <c r="H33" s="1"/>
  <c r="K32"/>
  <c r="H32" s="1"/>
  <c r="K31"/>
  <c r="K18"/>
  <c r="H18" s="1"/>
  <c r="K16"/>
  <c r="H16" s="1"/>
  <c r="K13"/>
  <c r="H13" s="1"/>
  <c r="K12"/>
  <c r="H12" s="1"/>
  <c r="K91"/>
  <c r="H91" s="1"/>
  <c r="K27"/>
  <c r="H27" s="1"/>
  <c r="K26"/>
  <c r="H26" s="1"/>
  <c r="K28"/>
  <c r="H28" s="1"/>
  <c r="K20"/>
  <c r="H20" s="1"/>
  <c r="K19"/>
  <c r="H19" s="1"/>
  <c r="H31" l="1"/>
  <c r="H66"/>
  <c r="K49"/>
  <c r="H49" s="1"/>
  <c r="K42"/>
  <c r="K24"/>
  <c r="H24" s="1"/>
  <c r="K81"/>
  <c r="H81" s="1"/>
  <c r="J99"/>
  <c r="L99"/>
  <c r="M99"/>
  <c r="I99"/>
  <c r="J94"/>
  <c r="K94"/>
  <c r="L94"/>
  <c r="M94"/>
  <c r="I94"/>
  <c r="J89"/>
  <c r="L89"/>
  <c r="M89"/>
  <c r="I89"/>
  <c r="H59" l="1"/>
  <c r="H30"/>
  <c r="H42"/>
  <c r="H94"/>
  <c r="K89"/>
  <c r="H89" s="1"/>
  <c r="H10"/>
  <c r="K99"/>
  <c r="H99" s="1"/>
  <c r="L9"/>
  <c r="I9"/>
  <c r="J9"/>
  <c r="M9"/>
  <c r="K9" l="1"/>
  <c r="H9" s="1"/>
</calcChain>
</file>

<file path=xl/sharedStrings.xml><?xml version="1.0" encoding="utf-8"?>
<sst xmlns="http://schemas.openxmlformats.org/spreadsheetml/2006/main" count="476" uniqueCount="255">
  <si>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</si>
  <si>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</si>
  <si>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</si>
  <si>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</si>
  <si>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</si>
  <si>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</si>
  <si>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</si>
  <si>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</si>
  <si>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</si>
  <si>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</si>
  <si>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</si>
  <si>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</si>
  <si>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</si>
  <si>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</si>
  <si>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</si>
  <si>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</si>
  <si>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</si>
  <si>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</si>
  <si>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</si>
  <si>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</si>
  <si>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</si>
  <si>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</si>
  <si>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</si>
  <si>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</si>
  <si>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</si>
  <si>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</si>
  <si>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</si>
  <si>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</si>
  <si>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</si>
  <si>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</si>
  <si>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</si>
  <si>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</si>
  <si>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</si>
  <si>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</si>
  <si>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</si>
  <si>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</si>
  <si>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</si>
  <si>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</si>
  <si>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</si>
  <si>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</si>
  <si>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</si>
  <si>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</si>
  <si>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</si>
  <si>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</si>
  <si>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</si>
  <si>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</si>
  <si>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</si>
  <si>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</si>
  <si>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</si>
  <si>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</si>
  <si>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</si>
  <si>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</si>
  <si>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</si>
  <si>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</si>
  <si>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</si>
  <si>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</si>
  <si>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</si>
  <si>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</si>
  <si>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</si>
  <si>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</si>
  <si>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</si>
  <si>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</si>
  <si>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</si>
  <si>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</si>
  <si>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</si>
  <si>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</si>
  <si>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</si>
  <si>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</si>
  <si>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</si>
  <si>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</si>
  <si>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</si>
  <si>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</si>
  <si>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</si>
  <si>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</si>
  <si>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</si>
  <si>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</si>
  <si>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</si>
  <si>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</si>
  <si>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</si>
  <si>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</si>
  <si>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</si>
  <si>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</si>
  <si>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</si>
  <si>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</si>
  <si>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</si>
  <si>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</si>
  <si>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</si>
  <si>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</si>
  <si>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</si>
  <si>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</si>
  <si>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</si>
  <si>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</si>
  <si>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</si>
  <si>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</si>
  <si>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</si>
  <si>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</si>
  <si>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</si>
  <si>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</si>
  <si>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</si>
  <si>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</si>
  <si>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</si>
  <si>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</si>
  <si>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</si>
  <si>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</si>
  <si>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</si>
  <si>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</si>
  <si>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</si>
  <si>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</si>
  <si>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</si>
  <si>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</si>
  <si>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</si>
  <si>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</si>
  <si>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</si>
  <si>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</si>
  <si>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</si>
  <si>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</si>
  <si>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</si>
  <si>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</si>
  <si>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</si>
  <si>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</si>
  <si>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</si>
  <si>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</si>
  <si>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</si>
  <si>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</si>
  <si>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</si>
  <si>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04 3 3Д 00000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</si>
  <si>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</si>
  <si>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</si>
  <si>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</si>
  <si>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</si>
  <si>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</si>
  <si>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</si>
  <si>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</si>
  <si>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</si>
  <si>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</si>
  <si>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</si>
  <si>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</si>
  <si>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</si>
  <si>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</si>
  <si>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</si>
  <si>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</si>
  <si>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</si>
  <si>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3.11.2 Мероприятия подпрограммы "Обеспечение жильем молодых семей федеральной программы "Жилище"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</si>
  <si>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</si>
  <si>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</si>
  <si>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</si>
  <si>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</si>
  <si>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Выполнение планового объема оказываемых услуг, установленного муниципальным заданием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</si>
  <si>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</si>
  <si>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</si>
  <si>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</si>
  <si>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</si>
  <si>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</si>
  <si>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</si>
  <si>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</si>
  <si>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</si>
  <si>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 xml:space="preserve">Выполнение противопожарных мероприятий 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</si>
  <si>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</si>
  <si>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</si>
  <si>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</si>
  <si>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</si>
  <si>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</si>
  <si>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</si>
  <si>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</si>
  <si>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</si>
  <si>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</si>
  <si>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</si>
  <si>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04 4 4А 00000</t>
  </si>
  <si>
    <t>0447204</t>
  </si>
  <si>
    <t>Основное мероприятие 4.2.</t>
  </si>
  <si>
    <t>4.1.2. Мероприятия по проведению оздоровительной кампании детей из РБ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</si>
  <si>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</si>
  <si>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</si>
  <si>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</si>
  <si>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</si>
  <si>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</si>
  <si>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</si>
  <si>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</si>
  <si>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</si>
  <si>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</si>
  <si>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</si>
  <si>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</si>
  <si>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</si>
  <si>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</si>
  <si>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</si>
  <si>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</si>
  <si>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</si>
  <si>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</si>
  <si>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</si>
  <si>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</si>
  <si>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</si>
  <si>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</si>
  <si>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</si>
  <si>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</si>
  <si>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</si>
  <si>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</si>
  <si>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к Муниципальной программе "Развитие образования в Княжпогостском районе"</t>
  </si>
  <si>
    <t>Основное мероприятие 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</si>
  <si>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</si>
  <si>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1.1.3. Создание дополнительных групп в дошкольных образовательных организациях</t>
  </si>
  <si>
    <t>Развитие инновационного опыта работы педагогов и образовательных организаций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</si>
  <si>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</si>
  <si>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</si>
  <si>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</si>
  <si>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</si>
  <si>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</si>
  <si>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</si>
  <si>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</si>
  <si>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</si>
  <si>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</si>
  <si>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</si>
  <si>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</si>
  <si>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</si>
  <si>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</si>
  <si>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</si>
  <si>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</si>
  <si>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</si>
  <si>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>0433К50200</t>
  </si>
  <si>
    <t xml:space="preserve">Укрепление материально-технической базы в организациях дополнительного образования </t>
  </si>
  <si>
    <t xml:space="preserve">4.1.1. Обеспечение деятельности лагерей с дневным пребыванием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</si>
  <si>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</si>
  <si>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</si>
  <si>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</si>
  <si>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2Р 72000</t>
  </si>
  <si>
    <t>Основное мероприятие 2.18.</t>
  </si>
  <si>
    <t>Реализация народных проектов в сфере образования</t>
  </si>
  <si>
    <t>04 2 2С 00000</t>
  </si>
  <si>
    <t>Основное мероприятие 3.18.</t>
  </si>
  <si>
    <t>Основное мероприятие 3.21.</t>
  </si>
  <si>
    <t>Основное мероприятие 3.22.</t>
  </si>
  <si>
    <t>04 3 3С 00000</t>
  </si>
  <si>
    <t>Основное мероприятие 2.19.</t>
  </si>
  <si>
    <t>Основное мероприятие 2.20.</t>
  </si>
  <si>
    <t>04 2 2Р S2000</t>
  </si>
  <si>
    <t>04 3 3К L0200</t>
  </si>
  <si>
    <t>04 3 3К R0200</t>
  </si>
  <si>
    <t>Основное мероприятие 3.23.</t>
  </si>
  <si>
    <t>Субсидии на реализацию народных проектов в сфере образования, прошедших отбор в рамках проекта "Народный бюджет"</t>
  </si>
  <si>
    <t>04 3 3С 72020</t>
  </si>
  <si>
    <t>Основание мероприятие 1.15.</t>
  </si>
  <si>
    <t>Исполнение судебных решений</t>
  </si>
  <si>
    <t>04 1 1О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</si>
  <si>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</si>
  <si>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2 2Г R5200</t>
  </si>
  <si>
    <t>04 2 2Г L5200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</si>
  <si>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</si>
  <si>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04 3 3Л 72700</t>
  </si>
  <si>
    <t>04 3 3Л S2700</t>
  </si>
  <si>
    <t>3.11.1 Обеспечение жильем молодых семей на территории МР "Княжпогостский"</t>
  </si>
  <si>
    <t>3.11.3 Предоставление социальных выплат молодым семьям на приобретение жилого помещения или создания объекта индив жил строительства</t>
  </si>
  <si>
    <t xml:space="preserve">Приложение 4                                                          </t>
  </si>
  <si>
    <t>Основное мероприятие 2.2.</t>
  </si>
  <si>
    <t>Управление образования администрации МР "Княжпогостский", общеобразовательные организации</t>
  </si>
  <si>
    <t>Управление образования администрации МР "Княжпогостский", организации дополнительного образования детей</t>
  </si>
  <si>
    <t>Управление образования администрации МР "Княжпогостский", образовательные организации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</si>
</sst>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Border="1"/>
    <xf numFmtId="0" fontId="1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"/>
  <sheetViews>
    <sheetView tabSelected="1" zoomScaleNormal="100" workbookViewId="0">
      <selection activeCell="J2" sqref="J2:N2"/>
    </sheetView>
  </sheetViews>
  <sheetFormatPr defaultColWidth="8.85546875" defaultRowHeight="15"/>
  <cols>
    <col min="1" max="1" width="21.140625" style="1" customWidth="1"/>
    <col min="2" max="2" width="32.7109375" style="1" customWidth="1"/>
    <col min="3" max="3" width="25.42578125" style="1" customWidth="1"/>
    <col min="4" max="7" width="8.85546875" style="1"/>
    <col min="8" max="8" width="13.28515625" style="1" customWidth="1"/>
    <col min="9" max="10" width="11" style="1" customWidth="1"/>
    <col min="11" max="11" width="11" style="27" customWidth="1"/>
    <col min="12" max="12" width="11" style="42" customWidth="1"/>
    <col min="13" max="14" width="11" style="1" customWidth="1"/>
    <col min="15" max="16384" width="8.85546875" style="1"/>
  </cols>
  <sheetData>
    <row r="1" spans="1:14" ht="13.5" customHeight="1">
      <c r="J1" s="56"/>
      <c r="K1" s="56"/>
      <c r="L1" s="56"/>
      <c r="M1" s="56"/>
      <c r="N1" s="56"/>
    </row>
    <row r="2" spans="1:14" ht="50.25" hidden="1" customHeight="1">
      <c r="J2" s="57"/>
      <c r="K2" s="57"/>
      <c r="L2" s="57"/>
      <c r="M2" s="57"/>
      <c r="N2" s="57"/>
    </row>
    <row r="3" spans="1:14" ht="15" customHeight="1">
      <c r="J3" s="59" t="s">
        <v>250</v>
      </c>
      <c r="K3" s="59"/>
      <c r="L3" s="59"/>
      <c r="M3" s="59"/>
      <c r="N3" s="59"/>
    </row>
    <row r="4" spans="1:14" ht="43.5" customHeight="1">
      <c r="A4" s="31"/>
      <c r="B4" s="31"/>
      <c r="C4" s="31"/>
      <c r="D4" s="31"/>
      <c r="E4" s="31"/>
      <c r="F4" s="31"/>
      <c r="G4" s="31"/>
      <c r="H4" s="31"/>
      <c r="I4" s="31"/>
      <c r="J4" s="61" t="s">
        <v>196</v>
      </c>
      <c r="K4" s="61"/>
      <c r="L4" s="61"/>
      <c r="M4" s="61"/>
      <c r="N4" s="61"/>
    </row>
    <row r="5" spans="1:14" ht="15.75">
      <c r="A5" s="60" t="s">
        <v>221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ht="15.75">
      <c r="A6" s="33"/>
      <c r="B6" s="33"/>
      <c r="C6" s="33"/>
      <c r="D6" s="33"/>
      <c r="E6" s="33"/>
      <c r="F6" s="33"/>
      <c r="G6" s="33"/>
      <c r="H6" s="33"/>
      <c r="I6" s="33"/>
      <c r="J6" s="33"/>
      <c r="K6" s="35"/>
      <c r="L6" s="35"/>
      <c r="M6" s="33"/>
      <c r="N6" s="33"/>
    </row>
    <row r="7" spans="1:14" s="3" customFormat="1" ht="13.9" customHeight="1">
      <c r="A7" s="51" t="s">
        <v>0</v>
      </c>
      <c r="B7" s="51" t="s">
        <v>1</v>
      </c>
      <c r="C7" s="51" t="s">
        <v>2</v>
      </c>
      <c r="D7" s="46" t="s">
        <v>3</v>
      </c>
      <c r="E7" s="47"/>
      <c r="F7" s="47"/>
      <c r="G7" s="48"/>
      <c r="H7" s="58" t="s">
        <v>8</v>
      </c>
      <c r="I7" s="58"/>
      <c r="J7" s="58"/>
      <c r="K7" s="58"/>
      <c r="L7" s="58"/>
      <c r="M7" s="58"/>
      <c r="N7" s="58"/>
    </row>
    <row r="8" spans="1:14" s="3" customFormat="1" ht="37.5" customHeight="1">
      <c r="A8" s="52"/>
      <c r="B8" s="52"/>
      <c r="C8" s="52"/>
      <c r="D8" s="2" t="s">
        <v>4</v>
      </c>
      <c r="E8" s="2" t="s">
        <v>5</v>
      </c>
      <c r="F8" s="2" t="s">
        <v>6</v>
      </c>
      <c r="G8" s="2" t="s">
        <v>7</v>
      </c>
      <c r="H8" s="4" t="s">
        <v>9</v>
      </c>
      <c r="I8" s="5">
        <v>2014</v>
      </c>
      <c r="J8" s="5">
        <v>2015</v>
      </c>
      <c r="K8" s="26">
        <v>2016</v>
      </c>
      <c r="L8" s="40">
        <v>2017</v>
      </c>
      <c r="M8" s="5">
        <v>2018</v>
      </c>
      <c r="N8" s="5">
        <v>2019</v>
      </c>
    </row>
    <row r="9" spans="1:14" s="6" customFormat="1" ht="57">
      <c r="A9" s="9" t="s">
        <v>10</v>
      </c>
      <c r="B9" s="9" t="s">
        <v>11</v>
      </c>
      <c r="C9" s="9" t="s">
        <v>12</v>
      </c>
      <c r="D9" s="11">
        <v>975</v>
      </c>
      <c r="E9" s="11"/>
      <c r="F9" s="13" t="s">
        <v>13</v>
      </c>
      <c r="G9" s="11"/>
      <c r="H9" s="7">
        <f>SUM(I9:N9)</f>
        <v>2207404.4469999997</v>
      </c>
      <c r="I9" s="7">
        <f t="shared" ref="I9:N9" si="0">I10+I30+I59+I89+I94+I99</f>
        <v>386844.49999999994</v>
      </c>
      <c r="J9" s="7">
        <f t="shared" si="0"/>
        <v>390549</v>
      </c>
      <c r="K9" s="24">
        <f t="shared" si="0"/>
        <v>367367.45199999993</v>
      </c>
      <c r="L9" s="41">
        <f t="shared" si="0"/>
        <v>366211.94300000003</v>
      </c>
      <c r="M9" s="7">
        <f t="shared" si="0"/>
        <v>348475.37599999999</v>
      </c>
      <c r="N9" s="7">
        <f t="shared" si="0"/>
        <v>347956.17599999998</v>
      </c>
    </row>
    <row r="10" spans="1:14" s="18" customFormat="1" ht="90">
      <c r="A10" s="28" t="s">
        <v>14</v>
      </c>
      <c r="B10" s="28" t="s">
        <v>15</v>
      </c>
      <c r="C10" s="28" t="s">
        <v>16</v>
      </c>
      <c r="D10" s="29"/>
      <c r="E10" s="29"/>
      <c r="F10" s="30" t="s">
        <v>17</v>
      </c>
      <c r="G10" s="29"/>
      <c r="H10" s="22">
        <f>SUM(I10:N10)</f>
        <v>762942.50299999991</v>
      </c>
      <c r="I10" s="22">
        <f>I12+I13+I14+I15+I16+I18+I19+I20+I21+I23+I24+I25+I26+I27+I28+I29</f>
        <v>140952.1</v>
      </c>
      <c r="J10" s="22">
        <f t="shared" ref="J10:N10" si="1">J12+J13+J14+J15+J16+J18+J19+J20+J21+J23+J24+J25+J26+J27+J28+J29</f>
        <v>119768.20000000003</v>
      </c>
      <c r="K10" s="22">
        <f t="shared" si="1"/>
        <v>126152.49199999998</v>
      </c>
      <c r="L10" s="22">
        <f t="shared" si="1"/>
        <v>132548.81100000002</v>
      </c>
      <c r="M10" s="22">
        <f t="shared" si="1"/>
        <v>121577.29999999999</v>
      </c>
      <c r="N10" s="22">
        <f t="shared" si="1"/>
        <v>121943.59999999999</v>
      </c>
    </row>
    <row r="11" spans="1:14" ht="30.75" customHeight="1">
      <c r="A11" s="10" t="s">
        <v>18</v>
      </c>
      <c r="B11" s="49" t="s">
        <v>19</v>
      </c>
      <c r="C11" s="50"/>
      <c r="D11" s="12"/>
      <c r="E11" s="12"/>
      <c r="F11" s="14"/>
      <c r="G11" s="12"/>
      <c r="H11" s="8"/>
      <c r="I11" s="8"/>
      <c r="J11" s="8"/>
      <c r="K11" s="25"/>
      <c r="L11" s="39"/>
      <c r="M11" s="8"/>
      <c r="N11" s="8"/>
    </row>
    <row r="12" spans="1:14" ht="84.75" customHeight="1">
      <c r="A12" s="43" t="s">
        <v>20</v>
      </c>
      <c r="B12" s="10" t="s">
        <v>21</v>
      </c>
      <c r="C12" s="21" t="s">
        <v>12</v>
      </c>
      <c r="D12" s="12">
        <v>975</v>
      </c>
      <c r="E12" s="19" t="s">
        <v>22</v>
      </c>
      <c r="F12" s="20" t="s">
        <v>23</v>
      </c>
      <c r="G12" s="19" t="s">
        <v>24</v>
      </c>
      <c r="H12" s="8">
        <f>SUM(I12:N12)</f>
        <v>237195.413</v>
      </c>
      <c r="I12" s="8">
        <v>40844.6</v>
      </c>
      <c r="J12" s="8">
        <v>34832.400000000001</v>
      </c>
      <c r="K12" s="25">
        <f>40788.434</f>
        <v>40788.434000000001</v>
      </c>
      <c r="L12" s="39">
        <f>37667.7+352.4-124.891+6802.97</f>
        <v>44698.178999999996</v>
      </c>
      <c r="M12" s="8">
        <f>37663.5+352.4</f>
        <v>38015.9</v>
      </c>
      <c r="N12" s="8">
        <f>37663.5+352.4</f>
        <v>38015.9</v>
      </c>
    </row>
    <row r="13" spans="1:14" ht="85.5" customHeight="1">
      <c r="A13" s="45"/>
      <c r="B13" s="10" t="s">
        <v>25</v>
      </c>
      <c r="C13" s="21" t="s">
        <v>12</v>
      </c>
      <c r="D13" s="12">
        <v>975</v>
      </c>
      <c r="E13" s="19" t="s">
        <v>22</v>
      </c>
      <c r="F13" s="20" t="s">
        <v>32</v>
      </c>
      <c r="G13" s="19" t="s">
        <v>24</v>
      </c>
      <c r="H13" s="8">
        <f>SUM(I13:N13)</f>
        <v>461337.277</v>
      </c>
      <c r="I13" s="8">
        <v>92730.4</v>
      </c>
      <c r="J13" s="8">
        <v>72773.3</v>
      </c>
      <c r="K13" s="25">
        <f>72275.827</f>
        <v>72275.827000000005</v>
      </c>
      <c r="L13" s="39">
        <f>74522-8.25</f>
        <v>74513.75</v>
      </c>
      <c r="M13" s="8">
        <v>74522</v>
      </c>
      <c r="N13" s="8">
        <v>74522</v>
      </c>
    </row>
    <row r="14" spans="1:14" ht="45">
      <c r="A14" s="43" t="s">
        <v>28</v>
      </c>
      <c r="B14" s="10" t="s">
        <v>199</v>
      </c>
      <c r="C14" s="10" t="s">
        <v>12</v>
      </c>
      <c r="D14" s="12"/>
      <c r="E14" s="19"/>
      <c r="F14" s="20"/>
      <c r="G14" s="19"/>
      <c r="H14" s="8">
        <f>SUM(I14:N14)</f>
        <v>0</v>
      </c>
      <c r="I14" s="8">
        <v>0</v>
      </c>
      <c r="J14" s="8">
        <v>0</v>
      </c>
      <c r="K14" s="25">
        <v>0</v>
      </c>
      <c r="L14" s="39">
        <v>0</v>
      </c>
      <c r="M14" s="8">
        <v>0</v>
      </c>
      <c r="N14" s="8">
        <v>0</v>
      </c>
    </row>
    <row r="15" spans="1:14" ht="105">
      <c r="A15" s="45"/>
      <c r="B15" s="10" t="s">
        <v>26</v>
      </c>
      <c r="C15" s="10" t="s">
        <v>12</v>
      </c>
      <c r="D15" s="12">
        <v>975</v>
      </c>
      <c r="E15" s="19" t="s">
        <v>22</v>
      </c>
      <c r="F15" s="20" t="s">
        <v>27</v>
      </c>
      <c r="G15" s="19" t="s">
        <v>24</v>
      </c>
      <c r="H15" s="8">
        <f>SUM(I15:N15)</f>
        <v>103.2</v>
      </c>
      <c r="I15" s="8">
        <v>103.2</v>
      </c>
      <c r="J15" s="8">
        <v>0</v>
      </c>
      <c r="K15" s="25">
        <v>0</v>
      </c>
      <c r="L15" s="39">
        <v>0</v>
      </c>
      <c r="M15" s="8">
        <v>0</v>
      </c>
      <c r="N15" s="8">
        <v>0</v>
      </c>
    </row>
    <row r="16" spans="1:14" ht="150">
      <c r="A16" s="10" t="s">
        <v>29</v>
      </c>
      <c r="B16" s="10" t="s">
        <v>30</v>
      </c>
      <c r="C16" s="10" t="s">
        <v>12</v>
      </c>
      <c r="D16" s="12">
        <v>975</v>
      </c>
      <c r="E16" s="19" t="s">
        <v>143</v>
      </c>
      <c r="F16" s="20" t="s">
        <v>31</v>
      </c>
      <c r="G16" s="19" t="s">
        <v>24</v>
      </c>
      <c r="H16" s="8">
        <f>SUM(I16:N16)</f>
        <v>27601.200000000001</v>
      </c>
      <c r="I16" s="8">
        <v>2540.1</v>
      </c>
      <c r="J16" s="8">
        <v>5781.6</v>
      </c>
      <c r="K16" s="25">
        <f>4317.4</f>
        <v>4317.3999999999996</v>
      </c>
      <c r="L16" s="39">
        <v>4544</v>
      </c>
      <c r="M16" s="8">
        <v>5025.8999999999996</v>
      </c>
      <c r="N16" s="8">
        <v>5392.2</v>
      </c>
    </row>
    <row r="17" spans="1:14" ht="30.75" customHeight="1">
      <c r="A17" s="10" t="s">
        <v>18</v>
      </c>
      <c r="B17" s="49" t="s">
        <v>33</v>
      </c>
      <c r="C17" s="50"/>
      <c r="D17" s="12"/>
      <c r="E17" s="19"/>
      <c r="F17" s="20"/>
      <c r="G17" s="19"/>
      <c r="H17" s="8"/>
      <c r="I17" s="8"/>
      <c r="J17" s="8"/>
      <c r="K17" s="25"/>
      <c r="L17" s="39"/>
      <c r="M17" s="8"/>
      <c r="N17" s="8"/>
    </row>
    <row r="18" spans="1:14" ht="45">
      <c r="A18" s="10" t="s">
        <v>34</v>
      </c>
      <c r="B18" s="10" t="s">
        <v>35</v>
      </c>
      <c r="C18" s="10" t="s">
        <v>12</v>
      </c>
      <c r="D18" s="12">
        <v>975</v>
      </c>
      <c r="E18" s="19" t="s">
        <v>22</v>
      </c>
      <c r="F18" s="20" t="s">
        <v>36</v>
      </c>
      <c r="G18" s="19" t="s">
        <v>24</v>
      </c>
      <c r="H18" s="8">
        <f>SUM(I18:N18)</f>
        <v>19557.256999999998</v>
      </c>
      <c r="I18" s="8">
        <v>0</v>
      </c>
      <c r="J18" s="8">
        <v>2996.8</v>
      </c>
      <c r="K18" s="25">
        <f>5219.999</f>
        <v>5219.9989999999998</v>
      </c>
      <c r="L18" s="39">
        <f>2500-794.923+4884.641-249.26</f>
        <v>6340.4579999999996</v>
      </c>
      <c r="M18" s="8">
        <v>2500</v>
      </c>
      <c r="N18" s="8">
        <v>2500</v>
      </c>
    </row>
    <row r="19" spans="1:14" ht="45">
      <c r="A19" s="10" t="s">
        <v>37</v>
      </c>
      <c r="B19" s="10" t="s">
        <v>38</v>
      </c>
      <c r="C19" s="10" t="s">
        <v>12</v>
      </c>
      <c r="D19" s="12">
        <v>975</v>
      </c>
      <c r="E19" s="19" t="s">
        <v>22</v>
      </c>
      <c r="F19" s="20" t="s">
        <v>39</v>
      </c>
      <c r="G19" s="19" t="s">
        <v>24</v>
      </c>
      <c r="H19" s="8">
        <f>SUM(I19:N19)</f>
        <v>4522.45</v>
      </c>
      <c r="I19" s="8">
        <v>725</v>
      </c>
      <c r="J19" s="8">
        <v>730</v>
      </c>
      <c r="K19" s="25">
        <f>818</f>
        <v>818</v>
      </c>
      <c r="L19" s="39">
        <f>800-190+39.45</f>
        <v>649.45000000000005</v>
      </c>
      <c r="M19" s="8">
        <v>800</v>
      </c>
      <c r="N19" s="8">
        <v>800</v>
      </c>
    </row>
    <row r="20" spans="1:14" ht="60">
      <c r="A20" s="43" t="s">
        <v>42</v>
      </c>
      <c r="B20" s="10" t="s">
        <v>40</v>
      </c>
      <c r="C20" s="10" t="s">
        <v>12</v>
      </c>
      <c r="D20" s="12">
        <v>975</v>
      </c>
      <c r="E20" s="19" t="s">
        <v>22</v>
      </c>
      <c r="F20" s="20" t="s">
        <v>43</v>
      </c>
      <c r="G20" s="19" t="s">
        <v>24</v>
      </c>
      <c r="H20" s="8">
        <f>SUM(I20:N20)</f>
        <v>5184.33</v>
      </c>
      <c r="I20" s="8">
        <v>865.4</v>
      </c>
      <c r="J20" s="8">
        <v>2124.6</v>
      </c>
      <c r="K20" s="25">
        <f>700.42</f>
        <v>700.42</v>
      </c>
      <c r="L20" s="39">
        <f>600-178.4-83.538-48.152+4</f>
        <v>293.91000000000003</v>
      </c>
      <c r="M20" s="8">
        <v>600</v>
      </c>
      <c r="N20" s="8">
        <v>600</v>
      </c>
    </row>
    <row r="21" spans="1:14" ht="60">
      <c r="A21" s="45"/>
      <c r="B21" s="10" t="s">
        <v>41</v>
      </c>
      <c r="C21" s="10" t="s">
        <v>12</v>
      </c>
      <c r="D21" s="12">
        <v>975</v>
      </c>
      <c r="E21" s="19" t="s">
        <v>22</v>
      </c>
      <c r="F21" s="20" t="s">
        <v>44</v>
      </c>
      <c r="G21" s="19" t="s">
        <v>24</v>
      </c>
      <c r="H21" s="8">
        <f>SUM(I21:N21)</f>
        <v>236.9</v>
      </c>
      <c r="I21" s="8">
        <v>236.9</v>
      </c>
      <c r="J21" s="8">
        <v>0</v>
      </c>
      <c r="K21" s="25">
        <v>0</v>
      </c>
      <c r="L21" s="39">
        <v>0</v>
      </c>
      <c r="M21" s="8">
        <v>0</v>
      </c>
      <c r="N21" s="8">
        <v>0</v>
      </c>
    </row>
    <row r="22" spans="1:14" ht="30.75" customHeight="1">
      <c r="A22" s="10" t="s">
        <v>18</v>
      </c>
      <c r="B22" s="49" t="s">
        <v>45</v>
      </c>
      <c r="C22" s="50"/>
      <c r="D22" s="12"/>
      <c r="E22" s="19"/>
      <c r="F22" s="20"/>
      <c r="G22" s="19"/>
      <c r="H22" s="8"/>
      <c r="I22" s="8"/>
      <c r="J22" s="8"/>
      <c r="K22" s="25"/>
      <c r="L22" s="39"/>
      <c r="M22" s="8"/>
      <c r="N22" s="8"/>
    </row>
    <row r="23" spans="1:14" ht="74.25" customHeight="1">
      <c r="A23" s="10" t="s">
        <v>46</v>
      </c>
      <c r="B23" s="10" t="s">
        <v>47</v>
      </c>
      <c r="C23" s="10" t="s">
        <v>12</v>
      </c>
      <c r="D23" s="12">
        <v>975</v>
      </c>
      <c r="E23" s="19" t="s">
        <v>22</v>
      </c>
      <c r="F23" s="20" t="s">
        <v>48</v>
      </c>
      <c r="G23" s="19" t="s">
        <v>52</v>
      </c>
      <c r="H23" s="8">
        <f>SUM(I23:N23)</f>
        <v>50</v>
      </c>
      <c r="I23" s="8">
        <v>15</v>
      </c>
      <c r="J23" s="8">
        <v>15</v>
      </c>
      <c r="K23" s="25">
        <v>15</v>
      </c>
      <c r="L23" s="39">
        <v>5</v>
      </c>
      <c r="M23" s="8">
        <v>0</v>
      </c>
      <c r="N23" s="8">
        <v>0</v>
      </c>
    </row>
    <row r="24" spans="1:14" ht="151.5" customHeight="1">
      <c r="A24" s="10" t="s">
        <v>49</v>
      </c>
      <c r="B24" s="10" t="s">
        <v>50</v>
      </c>
      <c r="C24" s="10" t="s">
        <v>12</v>
      </c>
      <c r="D24" s="12">
        <v>975</v>
      </c>
      <c r="E24" s="19" t="s">
        <v>22</v>
      </c>
      <c r="F24" s="20" t="s">
        <v>51</v>
      </c>
      <c r="G24" s="19" t="s">
        <v>207</v>
      </c>
      <c r="H24" s="8">
        <f>SUM(I24:N24)</f>
        <v>986</v>
      </c>
      <c r="I24" s="8">
        <v>386</v>
      </c>
      <c r="J24" s="8">
        <v>310</v>
      </c>
      <c r="K24" s="25">
        <f>386-80-16</f>
        <v>290</v>
      </c>
      <c r="L24" s="39">
        <v>0</v>
      </c>
      <c r="M24" s="8">
        <v>0</v>
      </c>
      <c r="N24" s="8">
        <v>0</v>
      </c>
    </row>
    <row r="25" spans="1:14" ht="45">
      <c r="A25" s="10" t="s">
        <v>55</v>
      </c>
      <c r="B25" s="10" t="s">
        <v>35</v>
      </c>
      <c r="C25" s="10" t="s">
        <v>12</v>
      </c>
      <c r="D25" s="12">
        <v>975</v>
      </c>
      <c r="E25" s="19" t="s">
        <v>22</v>
      </c>
      <c r="F25" s="20" t="s">
        <v>54</v>
      </c>
      <c r="G25" s="19" t="s">
        <v>24</v>
      </c>
      <c r="H25" s="8">
        <f>SUM(I25:N25)</f>
        <v>1994.7</v>
      </c>
      <c r="I25" s="8">
        <v>1994.7</v>
      </c>
      <c r="J25" s="8">
        <v>0</v>
      </c>
      <c r="K25" s="25">
        <v>0</v>
      </c>
      <c r="L25" s="39">
        <v>0</v>
      </c>
      <c r="M25" s="8">
        <v>0</v>
      </c>
      <c r="N25" s="8">
        <v>0</v>
      </c>
    </row>
    <row r="26" spans="1:14" ht="45">
      <c r="A26" s="10" t="s">
        <v>56</v>
      </c>
      <c r="B26" s="10" t="s">
        <v>57</v>
      </c>
      <c r="C26" s="10" t="s">
        <v>12</v>
      </c>
      <c r="D26" s="12">
        <v>975</v>
      </c>
      <c r="E26" s="19" t="s">
        <v>22</v>
      </c>
      <c r="F26" s="20" t="s">
        <v>202</v>
      </c>
      <c r="G26" s="19" t="s">
        <v>24</v>
      </c>
      <c r="H26" s="8">
        <f>SUM(I26:N26)</f>
        <v>2312.3119999999999</v>
      </c>
      <c r="I26" s="8">
        <v>510.8</v>
      </c>
      <c r="J26" s="8">
        <v>117.4</v>
      </c>
      <c r="K26" s="25">
        <f>1293.548</f>
        <v>1293.548</v>
      </c>
      <c r="L26" s="39">
        <f>86.7+91.3+48.864+183.7-20</f>
        <v>390.56399999999996</v>
      </c>
      <c r="M26" s="8">
        <v>0</v>
      </c>
      <c r="N26" s="8">
        <v>0</v>
      </c>
    </row>
    <row r="27" spans="1:14" ht="45">
      <c r="A27" s="10" t="s">
        <v>58</v>
      </c>
      <c r="B27" s="10" t="s">
        <v>59</v>
      </c>
      <c r="C27" s="10" t="s">
        <v>12</v>
      </c>
      <c r="D27" s="12">
        <v>975</v>
      </c>
      <c r="E27" s="19" t="s">
        <v>22</v>
      </c>
      <c r="F27" s="20" t="s">
        <v>60</v>
      </c>
      <c r="G27" s="19" t="s">
        <v>24</v>
      </c>
      <c r="H27" s="8">
        <f t="shared" ref="H27:H100" si="2">SUM(I27:N27)</f>
        <v>531.46399999999994</v>
      </c>
      <c r="I27" s="8">
        <v>0</v>
      </c>
      <c r="J27" s="8">
        <v>87.1</v>
      </c>
      <c r="K27" s="25">
        <f>103.864</f>
        <v>103.864</v>
      </c>
      <c r="L27" s="39">
        <v>113.5</v>
      </c>
      <c r="M27" s="8">
        <v>113.5</v>
      </c>
      <c r="N27" s="8">
        <v>113.5</v>
      </c>
    </row>
    <row r="28" spans="1:14" ht="60">
      <c r="A28" s="10" t="s">
        <v>203</v>
      </c>
      <c r="B28" s="10" t="s">
        <v>210</v>
      </c>
      <c r="C28" s="10" t="s">
        <v>12</v>
      </c>
      <c r="D28" s="12">
        <v>975</v>
      </c>
      <c r="E28" s="19" t="s">
        <v>22</v>
      </c>
      <c r="F28" s="20" t="s">
        <v>204</v>
      </c>
      <c r="G28" s="19" t="s">
        <v>24</v>
      </c>
      <c r="H28" s="8">
        <f t="shared" si="2"/>
        <v>330</v>
      </c>
      <c r="I28" s="8">
        <v>0</v>
      </c>
      <c r="J28" s="8">
        <v>0</v>
      </c>
      <c r="K28" s="25">
        <f>200+30+100</f>
        <v>330</v>
      </c>
      <c r="L28" s="39">
        <v>0</v>
      </c>
      <c r="M28" s="8">
        <v>0</v>
      </c>
      <c r="N28" s="8">
        <v>0</v>
      </c>
    </row>
    <row r="29" spans="1:14" ht="45">
      <c r="A29" s="10" t="s">
        <v>239</v>
      </c>
      <c r="B29" s="10" t="s">
        <v>240</v>
      </c>
      <c r="C29" s="10" t="s">
        <v>12</v>
      </c>
      <c r="D29" s="12">
        <v>975</v>
      </c>
      <c r="E29" s="19" t="s">
        <v>22</v>
      </c>
      <c r="F29" s="20" t="s">
        <v>241</v>
      </c>
      <c r="G29" s="19" t="s">
        <v>24</v>
      </c>
      <c r="H29" s="8">
        <f t="shared" si="2"/>
        <v>1000</v>
      </c>
      <c r="I29" s="8">
        <v>0</v>
      </c>
      <c r="J29" s="8">
        <v>0</v>
      </c>
      <c r="K29" s="25">
        <v>0</v>
      </c>
      <c r="L29" s="39">
        <v>1000</v>
      </c>
      <c r="M29" s="8">
        <v>0</v>
      </c>
      <c r="N29" s="8">
        <v>0</v>
      </c>
    </row>
    <row r="30" spans="1:14" ht="78">
      <c r="A30" s="15" t="s">
        <v>61</v>
      </c>
      <c r="B30" s="15" t="s">
        <v>62</v>
      </c>
      <c r="C30" s="15" t="s">
        <v>252</v>
      </c>
      <c r="D30" s="16"/>
      <c r="E30" s="16"/>
      <c r="F30" s="17" t="s">
        <v>63</v>
      </c>
      <c r="G30" s="16"/>
      <c r="H30" s="34">
        <f>SUM(I30:N30)</f>
        <v>1214180.1769999999</v>
      </c>
      <c r="I30" s="22">
        <f>I31+I32+I33+I34+I35+I36+I39+I40+I41+I42+I43+I44+I45+I46+I47+I48+I51+I52+I53+I55+I49+I56+I58+I57+I37+I38</f>
        <v>204702.49999999997</v>
      </c>
      <c r="J30" s="22">
        <f t="shared" ref="J30:N30" si="3">J31+J32+J33+J34+J35+J36+J39+J40+J41+J42+J43+J44+J45+J46+J47+J48+J51+J52+J53+J55+J49+J56+J58+J57+J37+J38</f>
        <v>227518.4</v>
      </c>
      <c r="K30" s="22">
        <f t="shared" si="3"/>
        <v>203219.23499999996</v>
      </c>
      <c r="L30" s="22">
        <f t="shared" si="3"/>
        <v>196219.56199999998</v>
      </c>
      <c r="M30" s="22">
        <f t="shared" si="3"/>
        <v>191642.99</v>
      </c>
      <c r="N30" s="22">
        <f t="shared" si="3"/>
        <v>190877.49</v>
      </c>
    </row>
    <row r="31" spans="1:14" ht="60">
      <c r="A31" s="43" t="s">
        <v>66</v>
      </c>
      <c r="B31" s="10" t="s">
        <v>64</v>
      </c>
      <c r="C31" s="10" t="s">
        <v>12</v>
      </c>
      <c r="D31" s="12">
        <v>975</v>
      </c>
      <c r="E31" s="19" t="s">
        <v>22</v>
      </c>
      <c r="F31" s="20" t="s">
        <v>67</v>
      </c>
      <c r="G31" s="19" t="s">
        <v>24</v>
      </c>
      <c r="H31" s="8">
        <f t="shared" si="2"/>
        <v>257747.64600000001</v>
      </c>
      <c r="I31" s="8">
        <v>42550</v>
      </c>
      <c r="J31" s="8">
        <v>38472.800000000003</v>
      </c>
      <c r="K31" s="25">
        <f>47329.332</f>
        <v>47329.332000000002</v>
      </c>
      <c r="L31" s="39">
        <f>41455.89+857.2+5115.523-74.6-30-108.119-2320.56</f>
        <v>44895.334000000003</v>
      </c>
      <c r="M31" s="8">
        <f>41392.89+857.2</f>
        <v>42250.09</v>
      </c>
      <c r="N31" s="8">
        <f>41392.89+857.2</f>
        <v>42250.09</v>
      </c>
    </row>
    <row r="32" spans="1:14" ht="85.5" customHeight="1">
      <c r="A32" s="45"/>
      <c r="B32" s="10" t="s">
        <v>65</v>
      </c>
      <c r="C32" s="10" t="s">
        <v>12</v>
      </c>
      <c r="D32" s="12">
        <v>975</v>
      </c>
      <c r="E32" s="19" t="s">
        <v>22</v>
      </c>
      <c r="F32" s="20" t="s">
        <v>68</v>
      </c>
      <c r="G32" s="19" t="s">
        <v>212</v>
      </c>
      <c r="H32" s="8">
        <f t="shared" si="2"/>
        <v>850146.82199999993</v>
      </c>
      <c r="I32" s="8">
        <v>141469.29999999999</v>
      </c>
      <c r="J32" s="8">
        <v>149482.4</v>
      </c>
      <c r="K32" s="25">
        <f>142133.572</f>
        <v>142133.57199999999</v>
      </c>
      <c r="L32" s="39">
        <f>139751.8-256.85</f>
        <v>139494.94999999998</v>
      </c>
      <c r="M32" s="8">
        <v>138783.29999999999</v>
      </c>
      <c r="N32" s="8">
        <v>138783.29999999999</v>
      </c>
    </row>
    <row r="33" spans="1:14" ht="165">
      <c r="A33" s="10" t="s">
        <v>251</v>
      </c>
      <c r="B33" s="10" t="s">
        <v>69</v>
      </c>
      <c r="C33" s="10" t="s">
        <v>12</v>
      </c>
      <c r="D33" s="12">
        <v>975</v>
      </c>
      <c r="E33" s="19" t="s">
        <v>143</v>
      </c>
      <c r="F33" s="20" t="s">
        <v>70</v>
      </c>
      <c r="G33" s="19" t="s">
        <v>24</v>
      </c>
      <c r="H33" s="8">
        <f t="shared" si="2"/>
        <v>3182.4</v>
      </c>
      <c r="I33" s="8">
        <v>375.8</v>
      </c>
      <c r="J33" s="8">
        <v>569</v>
      </c>
      <c r="K33" s="25">
        <f>562.1</f>
        <v>562.1</v>
      </c>
      <c r="L33" s="39">
        <v>558.5</v>
      </c>
      <c r="M33" s="8">
        <v>558.5</v>
      </c>
      <c r="N33" s="8">
        <v>558.5</v>
      </c>
    </row>
    <row r="34" spans="1:14" ht="45">
      <c r="A34" s="10" t="s">
        <v>71</v>
      </c>
      <c r="B34" s="10" t="s">
        <v>59</v>
      </c>
      <c r="C34" s="10" t="s">
        <v>12</v>
      </c>
      <c r="D34" s="12">
        <v>975</v>
      </c>
      <c r="E34" s="19" t="s">
        <v>22</v>
      </c>
      <c r="F34" s="20" t="s">
        <v>72</v>
      </c>
      <c r="G34" s="19" t="s">
        <v>24</v>
      </c>
      <c r="H34" s="8">
        <f t="shared" si="2"/>
        <v>6964.8270000000002</v>
      </c>
      <c r="I34" s="8">
        <v>1232.5999999999999</v>
      </c>
      <c r="J34" s="8">
        <v>1180.2</v>
      </c>
      <c r="K34" s="25">
        <f>1130.527</f>
        <v>1130.527</v>
      </c>
      <c r="L34" s="39">
        <v>1140.5</v>
      </c>
      <c r="M34" s="8">
        <v>1140.5</v>
      </c>
      <c r="N34" s="8">
        <v>1140.5</v>
      </c>
    </row>
    <row r="35" spans="1:14" ht="45">
      <c r="A35" s="43" t="s">
        <v>73</v>
      </c>
      <c r="B35" s="10" t="s">
        <v>74</v>
      </c>
      <c r="C35" s="10" t="s">
        <v>12</v>
      </c>
      <c r="D35" s="12">
        <v>975</v>
      </c>
      <c r="E35" s="19" t="s">
        <v>22</v>
      </c>
      <c r="F35" s="20" t="s">
        <v>76</v>
      </c>
      <c r="G35" s="19" t="s">
        <v>213</v>
      </c>
      <c r="H35" s="8">
        <f t="shared" si="2"/>
        <v>7299.0469999999996</v>
      </c>
      <c r="I35" s="8">
        <v>964.4</v>
      </c>
      <c r="J35" s="8">
        <v>3377.9</v>
      </c>
      <c r="K35" s="25">
        <f>1620.681</f>
        <v>1620.681</v>
      </c>
      <c r="L35" s="39">
        <f>607.609+668.887-0.4+59.97</f>
        <v>1336.066</v>
      </c>
      <c r="M35" s="8">
        <v>0</v>
      </c>
      <c r="N35" s="8">
        <v>0</v>
      </c>
    </row>
    <row r="36" spans="1:14" ht="60">
      <c r="A36" s="44"/>
      <c r="B36" s="10" t="s">
        <v>75</v>
      </c>
      <c r="C36" s="10" t="s">
        <v>12</v>
      </c>
      <c r="D36" s="12">
        <v>975</v>
      </c>
      <c r="E36" s="19" t="s">
        <v>22</v>
      </c>
      <c r="F36" s="20" t="s">
        <v>77</v>
      </c>
      <c r="G36" s="19" t="s">
        <v>24</v>
      </c>
      <c r="H36" s="8">
        <f t="shared" si="2"/>
        <v>11078</v>
      </c>
      <c r="I36" s="8">
        <v>0</v>
      </c>
      <c r="J36" s="8">
        <v>11078</v>
      </c>
      <c r="K36" s="25">
        <v>0</v>
      </c>
      <c r="L36" s="39">
        <v>0</v>
      </c>
      <c r="M36" s="8">
        <v>0</v>
      </c>
      <c r="N36" s="8">
        <v>0</v>
      </c>
    </row>
    <row r="37" spans="1:14" ht="75">
      <c r="A37" s="44"/>
      <c r="B37" s="10" t="s">
        <v>242</v>
      </c>
      <c r="C37" s="10" t="s">
        <v>12</v>
      </c>
      <c r="D37" s="12">
        <v>975</v>
      </c>
      <c r="E37" s="19" t="s">
        <v>22</v>
      </c>
      <c r="F37" s="20" t="s">
        <v>243</v>
      </c>
      <c r="G37" s="19" t="s">
        <v>24</v>
      </c>
      <c r="H37" s="8">
        <f t="shared" si="2"/>
        <v>233.9</v>
      </c>
      <c r="I37" s="8">
        <v>0</v>
      </c>
      <c r="J37" s="8">
        <v>0</v>
      </c>
      <c r="K37" s="25">
        <v>0</v>
      </c>
      <c r="L37" s="39">
        <v>233.9</v>
      </c>
      <c r="M37" s="8">
        <v>0</v>
      </c>
      <c r="N37" s="8">
        <v>0</v>
      </c>
    </row>
    <row r="38" spans="1:14" ht="75">
      <c r="A38" s="45"/>
      <c r="B38" s="10" t="s">
        <v>242</v>
      </c>
      <c r="C38" s="10" t="s">
        <v>12</v>
      </c>
      <c r="D38" s="12">
        <v>975</v>
      </c>
      <c r="E38" s="19" t="s">
        <v>22</v>
      </c>
      <c r="F38" s="20" t="s">
        <v>244</v>
      </c>
      <c r="G38" s="19" t="s">
        <v>24</v>
      </c>
      <c r="H38" s="8">
        <f t="shared" si="2"/>
        <v>26</v>
      </c>
      <c r="I38" s="8">
        <v>0</v>
      </c>
      <c r="J38" s="8">
        <v>0</v>
      </c>
      <c r="K38" s="25">
        <v>0</v>
      </c>
      <c r="L38" s="39">
        <v>26</v>
      </c>
      <c r="M38" s="8">
        <v>0</v>
      </c>
      <c r="N38" s="8">
        <v>0</v>
      </c>
    </row>
    <row r="39" spans="1:14" ht="45">
      <c r="A39" s="10" t="s">
        <v>79</v>
      </c>
      <c r="B39" s="10" t="s">
        <v>215</v>
      </c>
      <c r="C39" s="10" t="s">
        <v>12</v>
      </c>
      <c r="D39" s="12">
        <v>975</v>
      </c>
      <c r="E39" s="19" t="s">
        <v>22</v>
      </c>
      <c r="F39" s="20" t="s">
        <v>78</v>
      </c>
      <c r="G39" s="19" t="s">
        <v>24</v>
      </c>
      <c r="H39" s="8">
        <f t="shared" si="2"/>
        <v>22841.742999999999</v>
      </c>
      <c r="I39" s="8">
        <v>6540.9</v>
      </c>
      <c r="J39" s="8">
        <v>11784.1</v>
      </c>
      <c r="K39" s="25">
        <f>1516.743</f>
        <v>1516.7429999999999</v>
      </c>
      <c r="L39" s="39">
        <f>2341.1-1948.93-392-0.17</f>
        <v>-1.5462631175466868E-13</v>
      </c>
      <c r="M39" s="8">
        <v>1500</v>
      </c>
      <c r="N39" s="8">
        <v>1500</v>
      </c>
    </row>
    <row r="40" spans="1:14" ht="60">
      <c r="A40" s="43" t="s">
        <v>80</v>
      </c>
      <c r="B40" s="10" t="s">
        <v>208</v>
      </c>
      <c r="C40" s="10" t="s">
        <v>12</v>
      </c>
      <c r="D40" s="12">
        <v>975</v>
      </c>
      <c r="E40" s="19" t="s">
        <v>22</v>
      </c>
      <c r="F40" s="20" t="s">
        <v>82</v>
      </c>
      <c r="G40" s="19" t="s">
        <v>24</v>
      </c>
      <c r="H40" s="8">
        <f t="shared" si="2"/>
        <v>6795.1120000000001</v>
      </c>
      <c r="I40" s="8">
        <v>2868.4</v>
      </c>
      <c r="J40" s="8">
        <v>1546.8</v>
      </c>
      <c r="K40" s="25">
        <f>760.68</f>
        <v>760.68</v>
      </c>
      <c r="L40" s="39">
        <f>50+1417.083+23.119+129.03</f>
        <v>1619.232</v>
      </c>
      <c r="M40" s="8">
        <v>0</v>
      </c>
      <c r="N40" s="8">
        <v>0</v>
      </c>
    </row>
    <row r="41" spans="1:14" ht="60">
      <c r="A41" s="45"/>
      <c r="B41" s="10" t="s">
        <v>81</v>
      </c>
      <c r="C41" s="10" t="s">
        <v>12</v>
      </c>
      <c r="D41" s="12">
        <v>975</v>
      </c>
      <c r="E41" s="19" t="s">
        <v>22</v>
      </c>
      <c r="F41" s="20" t="s">
        <v>77</v>
      </c>
      <c r="G41" s="19" t="s">
        <v>24</v>
      </c>
      <c r="H41" s="8">
        <f t="shared" si="2"/>
        <v>165.1</v>
      </c>
      <c r="I41" s="8">
        <v>165.1</v>
      </c>
      <c r="J41" s="8">
        <v>0</v>
      </c>
      <c r="K41" s="25">
        <v>0</v>
      </c>
      <c r="L41" s="39">
        <v>0</v>
      </c>
      <c r="M41" s="8">
        <v>0</v>
      </c>
      <c r="N41" s="8">
        <v>0</v>
      </c>
    </row>
    <row r="42" spans="1:14" ht="45">
      <c r="A42" s="10" t="s">
        <v>83</v>
      </c>
      <c r="B42" s="10" t="s">
        <v>216</v>
      </c>
      <c r="C42" s="10" t="s">
        <v>12</v>
      </c>
      <c r="D42" s="12">
        <v>975</v>
      </c>
      <c r="E42" s="19" t="s">
        <v>22</v>
      </c>
      <c r="F42" s="20" t="s">
        <v>84</v>
      </c>
      <c r="G42" s="19" t="s">
        <v>24</v>
      </c>
      <c r="H42" s="8">
        <f t="shared" si="2"/>
        <v>5200.3999999999996</v>
      </c>
      <c r="I42" s="8">
        <v>1160</v>
      </c>
      <c r="J42" s="8">
        <v>1195</v>
      </c>
      <c r="K42" s="25">
        <f>1255-150+100</f>
        <v>1205</v>
      </c>
      <c r="L42" s="39">
        <f>1000-302.6-80+23</f>
        <v>640.4</v>
      </c>
      <c r="M42" s="8">
        <v>1000</v>
      </c>
      <c r="N42" s="8">
        <v>0</v>
      </c>
    </row>
    <row r="43" spans="1:14" ht="90">
      <c r="A43" s="10" t="s">
        <v>85</v>
      </c>
      <c r="B43" s="10" t="s">
        <v>86</v>
      </c>
      <c r="C43" s="10" t="s">
        <v>12</v>
      </c>
      <c r="D43" s="12">
        <v>975</v>
      </c>
      <c r="E43" s="19" t="s">
        <v>22</v>
      </c>
      <c r="F43" s="20" t="s">
        <v>87</v>
      </c>
      <c r="G43" s="19" t="s">
        <v>88</v>
      </c>
      <c r="H43" s="8">
        <f t="shared" si="2"/>
        <v>0</v>
      </c>
      <c r="I43" s="8">
        <v>0</v>
      </c>
      <c r="J43" s="8">
        <v>0</v>
      </c>
      <c r="K43" s="25">
        <v>0</v>
      </c>
      <c r="L43" s="39">
        <v>0</v>
      </c>
      <c r="M43" s="8">
        <v>0</v>
      </c>
      <c r="N43" s="8">
        <v>0</v>
      </c>
    </row>
    <row r="44" spans="1:14" ht="45">
      <c r="A44" s="10" t="s">
        <v>89</v>
      </c>
      <c r="B44" s="10" t="s">
        <v>74</v>
      </c>
      <c r="C44" s="10" t="s">
        <v>12</v>
      </c>
      <c r="D44" s="12">
        <v>975</v>
      </c>
      <c r="E44" s="19" t="s">
        <v>22</v>
      </c>
      <c r="F44" s="20" t="s">
        <v>90</v>
      </c>
      <c r="G44" s="19" t="s">
        <v>24</v>
      </c>
      <c r="H44" s="8">
        <f t="shared" si="2"/>
        <v>0</v>
      </c>
      <c r="I44" s="8">
        <v>0</v>
      </c>
      <c r="J44" s="8">
        <v>0</v>
      </c>
      <c r="K44" s="25">
        <v>0</v>
      </c>
      <c r="L44" s="39">
        <v>0</v>
      </c>
      <c r="M44" s="8">
        <v>0</v>
      </c>
      <c r="N44" s="8">
        <v>0</v>
      </c>
    </row>
    <row r="45" spans="1:14" ht="45">
      <c r="A45" s="10" t="s">
        <v>91</v>
      </c>
      <c r="B45" s="10" t="s">
        <v>92</v>
      </c>
      <c r="C45" s="10" t="s">
        <v>12</v>
      </c>
      <c r="D45" s="12">
        <v>975</v>
      </c>
      <c r="E45" s="19" t="s">
        <v>22</v>
      </c>
      <c r="F45" s="20" t="s">
        <v>93</v>
      </c>
      <c r="G45" s="19" t="s">
        <v>52</v>
      </c>
      <c r="H45" s="8">
        <f t="shared" si="2"/>
        <v>64.179999999999993</v>
      </c>
      <c r="I45" s="8">
        <v>18.899999999999999</v>
      </c>
      <c r="J45" s="8">
        <v>17.399999999999999</v>
      </c>
      <c r="K45" s="25">
        <v>18.899999999999999</v>
      </c>
      <c r="L45" s="39">
        <f>9-0.02</f>
        <v>8.98</v>
      </c>
      <c r="M45" s="8">
        <v>0</v>
      </c>
      <c r="N45" s="8">
        <v>0</v>
      </c>
    </row>
    <row r="46" spans="1:14" ht="45">
      <c r="A46" s="10" t="s">
        <v>94</v>
      </c>
      <c r="B46" s="10" t="s">
        <v>95</v>
      </c>
      <c r="C46" s="10" t="s">
        <v>12</v>
      </c>
      <c r="D46" s="12">
        <v>975</v>
      </c>
      <c r="E46" s="19" t="s">
        <v>22</v>
      </c>
      <c r="F46" s="20" t="s">
        <v>96</v>
      </c>
      <c r="G46" s="19" t="s">
        <v>52</v>
      </c>
      <c r="H46" s="8">
        <f t="shared" si="2"/>
        <v>0</v>
      </c>
      <c r="I46" s="8">
        <v>0</v>
      </c>
      <c r="J46" s="8">
        <v>0</v>
      </c>
      <c r="K46" s="25">
        <v>0</v>
      </c>
      <c r="L46" s="39">
        <v>0</v>
      </c>
      <c r="M46" s="8">
        <v>0</v>
      </c>
      <c r="N46" s="8">
        <v>0</v>
      </c>
    </row>
    <row r="47" spans="1:14" ht="180">
      <c r="A47" s="10" t="s">
        <v>97</v>
      </c>
      <c r="B47" s="10" t="s">
        <v>200</v>
      </c>
      <c r="C47" s="10" t="s">
        <v>12</v>
      </c>
      <c r="D47" s="12">
        <v>975</v>
      </c>
      <c r="E47" s="19" t="s">
        <v>22</v>
      </c>
      <c r="F47" s="20" t="s">
        <v>98</v>
      </c>
      <c r="G47" s="19" t="s">
        <v>99</v>
      </c>
      <c r="H47" s="8">
        <f t="shared" si="2"/>
        <v>1306.6999999999998</v>
      </c>
      <c r="I47" s="8">
        <v>494.9</v>
      </c>
      <c r="J47" s="8">
        <v>490.9</v>
      </c>
      <c r="K47" s="25">
        <f>320.9</f>
        <v>320.89999999999998</v>
      </c>
      <c r="L47" s="39">
        <v>0</v>
      </c>
      <c r="M47" s="8">
        <v>0</v>
      </c>
      <c r="N47" s="8">
        <v>0</v>
      </c>
    </row>
    <row r="48" spans="1:14" ht="180">
      <c r="A48" s="10" t="s">
        <v>100</v>
      </c>
      <c r="B48" s="10" t="s">
        <v>101</v>
      </c>
      <c r="C48" s="10" t="s">
        <v>12</v>
      </c>
      <c r="D48" s="12">
        <v>975</v>
      </c>
      <c r="E48" s="19" t="s">
        <v>22</v>
      </c>
      <c r="F48" s="20" t="s">
        <v>102</v>
      </c>
      <c r="G48" s="19" t="s">
        <v>103</v>
      </c>
      <c r="H48" s="8">
        <f t="shared" si="2"/>
        <v>376.8</v>
      </c>
      <c r="I48" s="8">
        <v>135</v>
      </c>
      <c r="J48" s="8">
        <v>83.8</v>
      </c>
      <c r="K48" s="25">
        <v>145</v>
      </c>
      <c r="L48" s="39">
        <v>13</v>
      </c>
      <c r="M48" s="8">
        <v>0</v>
      </c>
      <c r="N48" s="8">
        <v>0</v>
      </c>
    </row>
    <row r="49" spans="1:14" ht="60">
      <c r="A49" s="10" t="s">
        <v>206</v>
      </c>
      <c r="B49" s="10" t="s">
        <v>209</v>
      </c>
      <c r="C49" s="10" t="s">
        <v>12</v>
      </c>
      <c r="D49" s="12">
        <v>975</v>
      </c>
      <c r="E49" s="19" t="s">
        <v>22</v>
      </c>
      <c r="F49" s="20" t="s">
        <v>205</v>
      </c>
      <c r="G49" s="19" t="s">
        <v>24</v>
      </c>
      <c r="H49" s="8">
        <f t="shared" si="2"/>
        <v>225</v>
      </c>
      <c r="I49" s="8">
        <v>0</v>
      </c>
      <c r="J49" s="8">
        <v>0</v>
      </c>
      <c r="K49" s="25">
        <f>105+90</f>
        <v>195</v>
      </c>
      <c r="L49" s="39">
        <f>30</f>
        <v>30</v>
      </c>
      <c r="M49" s="8">
        <v>0</v>
      </c>
      <c r="N49" s="8">
        <v>0</v>
      </c>
    </row>
    <row r="50" spans="1:14" ht="33" customHeight="1">
      <c r="A50" s="10" t="s">
        <v>18</v>
      </c>
      <c r="B50" s="49" t="s">
        <v>104</v>
      </c>
      <c r="C50" s="50"/>
      <c r="D50" s="12"/>
      <c r="E50" s="19"/>
      <c r="F50" s="20"/>
      <c r="G50" s="19"/>
      <c r="H50" s="8">
        <f t="shared" si="2"/>
        <v>0</v>
      </c>
      <c r="I50" s="8"/>
      <c r="J50" s="8"/>
      <c r="K50" s="25"/>
      <c r="L50" s="39"/>
      <c r="M50" s="8"/>
      <c r="N50" s="8"/>
    </row>
    <row r="51" spans="1:14" ht="48" customHeight="1">
      <c r="A51" s="43" t="s">
        <v>105</v>
      </c>
      <c r="B51" s="10" t="s">
        <v>106</v>
      </c>
      <c r="C51" s="10" t="s">
        <v>12</v>
      </c>
      <c r="D51" s="12">
        <v>975</v>
      </c>
      <c r="E51" s="19" t="s">
        <v>22</v>
      </c>
      <c r="F51" s="20" t="s">
        <v>109</v>
      </c>
      <c r="G51" s="19" t="s">
        <v>24</v>
      </c>
      <c r="H51" s="8">
        <f t="shared" si="2"/>
        <v>465</v>
      </c>
      <c r="I51" s="8">
        <v>0</v>
      </c>
      <c r="J51" s="8">
        <v>465</v>
      </c>
      <c r="K51" s="25">
        <v>0</v>
      </c>
      <c r="L51" s="39">
        <f>335-335</f>
        <v>0</v>
      </c>
      <c r="M51" s="8">
        <v>0</v>
      </c>
      <c r="N51" s="8">
        <v>0</v>
      </c>
    </row>
    <row r="52" spans="1:14" ht="62.25" customHeight="1">
      <c r="A52" s="44"/>
      <c r="B52" s="10" t="s">
        <v>107</v>
      </c>
      <c r="C52" s="10" t="s">
        <v>12</v>
      </c>
      <c r="D52" s="12">
        <v>975</v>
      </c>
      <c r="E52" s="19" t="s">
        <v>22</v>
      </c>
      <c r="F52" s="20" t="s">
        <v>110</v>
      </c>
      <c r="G52" s="19" t="s">
        <v>24</v>
      </c>
      <c r="H52" s="8">
        <f t="shared" si="2"/>
        <v>756</v>
      </c>
      <c r="I52" s="8">
        <v>0</v>
      </c>
      <c r="J52" s="8">
        <v>756</v>
      </c>
      <c r="K52" s="25">
        <v>0</v>
      </c>
      <c r="L52" s="39">
        <v>0</v>
      </c>
      <c r="M52" s="8">
        <v>0</v>
      </c>
      <c r="N52" s="8">
        <v>0</v>
      </c>
    </row>
    <row r="53" spans="1:14" ht="105">
      <c r="A53" s="45"/>
      <c r="B53" s="10" t="s">
        <v>108</v>
      </c>
      <c r="C53" s="10" t="s">
        <v>12</v>
      </c>
      <c r="D53" s="12">
        <v>975</v>
      </c>
      <c r="E53" s="19" t="s">
        <v>22</v>
      </c>
      <c r="F53" s="20" t="s">
        <v>111</v>
      </c>
      <c r="G53" s="19" t="s">
        <v>24</v>
      </c>
      <c r="H53" s="8">
        <f t="shared" si="2"/>
        <v>400</v>
      </c>
      <c r="I53" s="8">
        <v>0</v>
      </c>
      <c r="J53" s="8">
        <v>400</v>
      </c>
      <c r="K53" s="25">
        <v>0</v>
      </c>
      <c r="L53" s="39">
        <v>0</v>
      </c>
      <c r="M53" s="8">
        <v>0</v>
      </c>
      <c r="N53" s="8">
        <v>0</v>
      </c>
    </row>
    <row r="54" spans="1:14">
      <c r="A54" s="10" t="s">
        <v>18</v>
      </c>
      <c r="B54" s="49" t="s">
        <v>112</v>
      </c>
      <c r="C54" s="50"/>
      <c r="D54" s="12"/>
      <c r="E54" s="19"/>
      <c r="F54" s="20"/>
      <c r="G54" s="19"/>
      <c r="H54" s="8">
        <f t="shared" si="2"/>
        <v>0</v>
      </c>
      <c r="I54" s="8"/>
      <c r="J54" s="8"/>
      <c r="K54" s="25"/>
      <c r="L54" s="39"/>
      <c r="M54" s="8"/>
      <c r="N54" s="8"/>
    </row>
    <row r="55" spans="1:14" ht="106.5" customHeight="1">
      <c r="A55" s="10" t="s">
        <v>113</v>
      </c>
      <c r="B55" s="10" t="s">
        <v>114</v>
      </c>
      <c r="C55" s="10" t="s">
        <v>12</v>
      </c>
      <c r="D55" s="12">
        <v>975</v>
      </c>
      <c r="E55" s="19" t="s">
        <v>22</v>
      </c>
      <c r="F55" s="20" t="s">
        <v>115</v>
      </c>
      <c r="G55" s="19" t="s">
        <v>24</v>
      </c>
      <c r="H55" s="8">
        <f t="shared" si="2"/>
        <v>32682.799999999996</v>
      </c>
      <c r="I55" s="8">
        <v>6727.2</v>
      </c>
      <c r="J55" s="8">
        <v>6619.1</v>
      </c>
      <c r="K55" s="25">
        <v>6280.8</v>
      </c>
      <c r="L55" s="39">
        <f>6148.1-6148.1</f>
        <v>0</v>
      </c>
      <c r="M55" s="8">
        <v>6410.6</v>
      </c>
      <c r="N55" s="8">
        <v>6645.1</v>
      </c>
    </row>
    <row r="56" spans="1:14" ht="106.5" customHeight="1">
      <c r="A56" s="10" t="s">
        <v>224</v>
      </c>
      <c r="B56" s="10" t="s">
        <v>222</v>
      </c>
      <c r="C56" s="10" t="s">
        <v>12</v>
      </c>
      <c r="D56" s="12">
        <v>975</v>
      </c>
      <c r="E56" s="19" t="s">
        <v>22</v>
      </c>
      <c r="F56" s="20" t="s">
        <v>223</v>
      </c>
      <c r="G56" s="19" t="s">
        <v>24</v>
      </c>
      <c r="H56" s="8">
        <f t="shared" si="2"/>
        <v>6148.1</v>
      </c>
      <c r="I56" s="8">
        <v>0</v>
      </c>
      <c r="J56" s="8">
        <v>0</v>
      </c>
      <c r="K56" s="25">
        <v>0</v>
      </c>
      <c r="L56" s="39">
        <v>6148.1</v>
      </c>
      <c r="M56" s="8">
        <v>0</v>
      </c>
      <c r="N56" s="8">
        <v>0</v>
      </c>
    </row>
    <row r="57" spans="1:14" ht="106.5" customHeight="1">
      <c r="A57" s="10" t="s">
        <v>232</v>
      </c>
      <c r="B57" s="10" t="s">
        <v>222</v>
      </c>
      <c r="C57" s="10" t="s">
        <v>12</v>
      </c>
      <c r="D57" s="12">
        <v>975</v>
      </c>
      <c r="E57" s="19" t="s">
        <v>22</v>
      </c>
      <c r="F57" s="20" t="s">
        <v>233</v>
      </c>
      <c r="G57" s="19" t="s">
        <v>24</v>
      </c>
      <c r="H57" s="8">
        <f t="shared" ref="H57" si="4">SUM(I57:N57)</f>
        <v>74.599999999999994</v>
      </c>
      <c r="I57" s="8">
        <v>0</v>
      </c>
      <c r="J57" s="8">
        <v>0</v>
      </c>
      <c r="K57" s="25">
        <v>0</v>
      </c>
      <c r="L57" s="39">
        <v>74.599999999999994</v>
      </c>
      <c r="M57" s="8">
        <v>0</v>
      </c>
      <c r="N57" s="8">
        <v>0</v>
      </c>
    </row>
    <row r="58" spans="1:14" ht="106.5" customHeight="1">
      <c r="A58" s="10" t="s">
        <v>231</v>
      </c>
      <c r="B58" s="10" t="s">
        <v>225</v>
      </c>
      <c r="C58" s="10" t="s">
        <v>12</v>
      </c>
      <c r="D58" s="12">
        <v>975</v>
      </c>
      <c r="E58" s="19" t="s">
        <v>22</v>
      </c>
      <c r="F58" s="20" t="s">
        <v>226</v>
      </c>
      <c r="G58" s="19" t="s">
        <v>24</v>
      </c>
      <c r="H58" s="8">
        <f t="shared" ref="H58" si="5">SUM(I58:N58)</f>
        <v>0</v>
      </c>
      <c r="I58" s="8">
        <v>0</v>
      </c>
      <c r="J58" s="8">
        <v>0</v>
      </c>
      <c r="K58" s="25">
        <v>0</v>
      </c>
      <c r="L58" s="39">
        <f>33.3-33.3</f>
        <v>0</v>
      </c>
      <c r="M58" s="8">
        <v>0</v>
      </c>
      <c r="N58" s="8">
        <v>0</v>
      </c>
    </row>
    <row r="59" spans="1:14" ht="90">
      <c r="A59" s="15" t="s">
        <v>117</v>
      </c>
      <c r="B59" s="15" t="s">
        <v>118</v>
      </c>
      <c r="C59" s="15" t="s">
        <v>253</v>
      </c>
      <c r="D59" s="16"/>
      <c r="E59" s="16"/>
      <c r="F59" s="17" t="s">
        <v>116</v>
      </c>
      <c r="G59" s="16"/>
      <c r="H59" s="34">
        <f>SUM(I59:N59)</f>
        <v>117049.63</v>
      </c>
      <c r="I59" s="22">
        <f>I61+I63+I64+I66+I67+I69+I72+I73+I74+I76+I80+I81+I82+I84+I85+I70+I86+I87+I88+I77+I78</f>
        <v>25267.899999999998</v>
      </c>
      <c r="J59" s="22">
        <f t="shared" ref="J59:N59" si="6">J61+J63+J64+J66+J67+J69+J72+J73+J74+J76+J80+J81+J82+J84+J85+J70+J86+J87+J88+J77+J78</f>
        <v>23319.300000000003</v>
      </c>
      <c r="K59" s="22">
        <f t="shared" si="6"/>
        <v>18178.421999999999</v>
      </c>
      <c r="L59" s="22">
        <f t="shared" si="6"/>
        <v>18050.008000000002</v>
      </c>
      <c r="M59" s="22">
        <f t="shared" si="6"/>
        <v>16117</v>
      </c>
      <c r="N59" s="22">
        <f t="shared" si="6"/>
        <v>16117</v>
      </c>
    </row>
    <row r="60" spans="1:14" ht="31.5" customHeight="1">
      <c r="A60" s="10" t="s">
        <v>18</v>
      </c>
      <c r="B60" s="49" t="s">
        <v>119</v>
      </c>
      <c r="C60" s="50"/>
      <c r="D60" s="12"/>
      <c r="E60" s="19"/>
      <c r="F60" s="20"/>
      <c r="G60" s="19"/>
      <c r="H60" s="8">
        <f t="shared" si="2"/>
        <v>0</v>
      </c>
      <c r="I60" s="8"/>
      <c r="J60" s="8"/>
      <c r="K60" s="25"/>
      <c r="L60" s="39"/>
      <c r="M60" s="8"/>
      <c r="N60" s="8"/>
    </row>
    <row r="61" spans="1:14" ht="60">
      <c r="A61" s="10" t="s">
        <v>120</v>
      </c>
      <c r="B61" s="10" t="s">
        <v>121</v>
      </c>
      <c r="C61" s="10" t="s">
        <v>12</v>
      </c>
      <c r="D61" s="12">
        <v>975</v>
      </c>
      <c r="E61" s="19" t="s">
        <v>22</v>
      </c>
      <c r="F61" s="20" t="s">
        <v>122</v>
      </c>
      <c r="G61" s="19" t="s">
        <v>52</v>
      </c>
      <c r="H61" s="8">
        <f t="shared" si="2"/>
        <v>18</v>
      </c>
      <c r="I61" s="8">
        <v>6</v>
      </c>
      <c r="J61" s="8">
        <v>6</v>
      </c>
      <c r="K61" s="25">
        <v>6</v>
      </c>
      <c r="L61" s="39">
        <v>0</v>
      </c>
      <c r="M61" s="8">
        <v>0</v>
      </c>
      <c r="N61" s="8">
        <v>0</v>
      </c>
    </row>
    <row r="62" spans="1:14" ht="32.25" customHeight="1">
      <c r="A62" s="10" t="s">
        <v>18</v>
      </c>
      <c r="B62" s="49" t="s">
        <v>124</v>
      </c>
      <c r="C62" s="50"/>
      <c r="D62" s="12"/>
      <c r="E62" s="19"/>
      <c r="F62" s="20"/>
      <c r="G62" s="19"/>
      <c r="H62" s="8">
        <f t="shared" si="2"/>
        <v>0</v>
      </c>
      <c r="I62" s="8"/>
      <c r="J62" s="8"/>
      <c r="K62" s="25"/>
      <c r="L62" s="39"/>
      <c r="M62" s="8"/>
      <c r="N62" s="8"/>
    </row>
    <row r="63" spans="1:14" ht="45">
      <c r="A63" s="10" t="s">
        <v>123</v>
      </c>
      <c r="B63" s="10" t="s">
        <v>126</v>
      </c>
      <c r="C63" s="10" t="s">
        <v>12</v>
      </c>
      <c r="D63" s="12">
        <v>975</v>
      </c>
      <c r="E63" s="19" t="s">
        <v>22</v>
      </c>
      <c r="F63" s="20" t="s">
        <v>125</v>
      </c>
      <c r="G63" s="19" t="s">
        <v>52</v>
      </c>
      <c r="H63" s="8">
        <f t="shared" si="2"/>
        <v>4800</v>
      </c>
      <c r="I63" s="8">
        <v>800</v>
      </c>
      <c r="J63" s="8">
        <v>800</v>
      </c>
      <c r="K63" s="25">
        <v>800</v>
      </c>
      <c r="L63" s="39">
        <v>800</v>
      </c>
      <c r="M63" s="8">
        <v>800</v>
      </c>
      <c r="N63" s="8">
        <v>800</v>
      </c>
    </row>
    <row r="64" spans="1:14" ht="45">
      <c r="A64" s="10" t="s">
        <v>123</v>
      </c>
      <c r="B64" s="10" t="s">
        <v>127</v>
      </c>
      <c r="C64" s="10" t="s">
        <v>12</v>
      </c>
      <c r="D64" s="12">
        <v>975</v>
      </c>
      <c r="E64" s="19" t="s">
        <v>22</v>
      </c>
      <c r="F64" s="20" t="s">
        <v>128</v>
      </c>
      <c r="G64" s="19" t="s">
        <v>52</v>
      </c>
      <c r="H64" s="8">
        <f t="shared" si="2"/>
        <v>18</v>
      </c>
      <c r="I64" s="8">
        <v>9</v>
      </c>
      <c r="J64" s="8">
        <v>9</v>
      </c>
      <c r="K64" s="25">
        <v>0</v>
      </c>
      <c r="L64" s="39">
        <v>0</v>
      </c>
      <c r="M64" s="8">
        <v>0</v>
      </c>
      <c r="N64" s="8">
        <v>0</v>
      </c>
    </row>
    <row r="65" spans="1:14">
      <c r="A65" s="10" t="s">
        <v>18</v>
      </c>
      <c r="B65" s="49" t="s">
        <v>129</v>
      </c>
      <c r="C65" s="50"/>
      <c r="D65" s="12"/>
      <c r="E65" s="19"/>
      <c r="F65" s="20"/>
      <c r="G65" s="19"/>
      <c r="H65" s="8">
        <f t="shared" si="2"/>
        <v>0</v>
      </c>
      <c r="I65" s="8"/>
      <c r="J65" s="8"/>
      <c r="K65" s="25"/>
      <c r="L65" s="39"/>
      <c r="M65" s="8"/>
      <c r="N65" s="8"/>
    </row>
    <row r="66" spans="1:14" ht="45">
      <c r="A66" s="10" t="s">
        <v>130</v>
      </c>
      <c r="B66" s="10" t="s">
        <v>131</v>
      </c>
      <c r="C66" s="10" t="s">
        <v>12</v>
      </c>
      <c r="D66" s="12">
        <v>975</v>
      </c>
      <c r="E66" s="19" t="s">
        <v>22</v>
      </c>
      <c r="F66" s="20" t="s">
        <v>132</v>
      </c>
      <c r="G66" s="19" t="s">
        <v>52</v>
      </c>
      <c r="H66" s="8">
        <f t="shared" si="2"/>
        <v>311.28999999999996</v>
      </c>
      <c r="I66" s="8">
        <v>187.5</v>
      </c>
      <c r="J66" s="8">
        <v>77.400000000000006</v>
      </c>
      <c r="K66" s="25">
        <f>46.39</f>
        <v>46.39</v>
      </c>
      <c r="L66" s="39">
        <v>0</v>
      </c>
      <c r="M66" s="8">
        <v>0</v>
      </c>
      <c r="N66" s="8">
        <v>0</v>
      </c>
    </row>
    <row r="67" spans="1:14" ht="53.25" customHeight="1">
      <c r="A67" s="10" t="s">
        <v>133</v>
      </c>
      <c r="B67" s="10" t="s">
        <v>134</v>
      </c>
      <c r="C67" s="10" t="s">
        <v>12</v>
      </c>
      <c r="D67" s="12">
        <v>975</v>
      </c>
      <c r="E67" s="19" t="s">
        <v>22</v>
      </c>
      <c r="F67" s="20" t="s">
        <v>135</v>
      </c>
      <c r="G67" s="19" t="s">
        <v>52</v>
      </c>
      <c r="H67" s="8">
        <f t="shared" si="2"/>
        <v>0</v>
      </c>
      <c r="I67" s="8">
        <v>0</v>
      </c>
      <c r="J67" s="8">
        <v>0</v>
      </c>
      <c r="K67" s="25">
        <v>0</v>
      </c>
      <c r="L67" s="39">
        <v>0</v>
      </c>
      <c r="M67" s="8">
        <v>0</v>
      </c>
      <c r="N67" s="8">
        <v>0</v>
      </c>
    </row>
    <row r="68" spans="1:14">
      <c r="A68" s="10" t="s">
        <v>18</v>
      </c>
      <c r="B68" s="49" t="s">
        <v>136</v>
      </c>
      <c r="C68" s="50"/>
      <c r="D68" s="12"/>
      <c r="E68" s="19"/>
      <c r="F68" s="20"/>
      <c r="G68" s="19"/>
      <c r="H68" s="8">
        <f t="shared" si="2"/>
        <v>0</v>
      </c>
      <c r="I68" s="8"/>
      <c r="J68" s="8"/>
      <c r="K68" s="25"/>
      <c r="L68" s="39"/>
      <c r="M68" s="8"/>
      <c r="N68" s="8"/>
    </row>
    <row r="69" spans="1:14" ht="165">
      <c r="A69" s="10" t="s">
        <v>138</v>
      </c>
      <c r="B69" s="10" t="s">
        <v>137</v>
      </c>
      <c r="C69" s="10" t="s">
        <v>12</v>
      </c>
      <c r="D69" s="12">
        <v>975</v>
      </c>
      <c r="E69" s="19" t="s">
        <v>22</v>
      </c>
      <c r="F69" s="20" t="s">
        <v>139</v>
      </c>
      <c r="G69" s="19" t="s">
        <v>211</v>
      </c>
      <c r="H69" s="8">
        <f t="shared" si="2"/>
        <v>426.3</v>
      </c>
      <c r="I69" s="8">
        <v>192</v>
      </c>
      <c r="J69" s="8">
        <v>227.3</v>
      </c>
      <c r="K69" s="25">
        <v>0</v>
      </c>
      <c r="L69" s="39">
        <f>7</f>
        <v>7</v>
      </c>
      <c r="M69" s="8">
        <v>0</v>
      </c>
      <c r="N69" s="8">
        <v>0</v>
      </c>
    </row>
    <row r="70" spans="1:14" ht="165.75" customHeight="1">
      <c r="A70" s="10" t="s">
        <v>197</v>
      </c>
      <c r="B70" s="10" t="s">
        <v>198</v>
      </c>
      <c r="C70" s="10" t="s">
        <v>12</v>
      </c>
      <c r="D70" s="12">
        <v>975</v>
      </c>
      <c r="E70" s="19" t="s">
        <v>22</v>
      </c>
      <c r="F70" s="20" t="s">
        <v>157</v>
      </c>
      <c r="G70" s="19" t="s">
        <v>211</v>
      </c>
      <c r="H70" s="8">
        <f t="shared" si="2"/>
        <v>207.04499999999999</v>
      </c>
      <c r="I70" s="8">
        <v>0</v>
      </c>
      <c r="J70" s="8">
        <v>0</v>
      </c>
      <c r="K70" s="25">
        <f>169.045</f>
        <v>169.04499999999999</v>
      </c>
      <c r="L70" s="39">
        <v>38</v>
      </c>
      <c r="M70" s="8">
        <v>0</v>
      </c>
      <c r="N70" s="8">
        <v>0</v>
      </c>
    </row>
    <row r="71" spans="1:14">
      <c r="A71" s="10" t="s">
        <v>18</v>
      </c>
      <c r="B71" s="49" t="s">
        <v>140</v>
      </c>
      <c r="C71" s="50"/>
      <c r="D71" s="12"/>
      <c r="E71" s="19"/>
      <c r="F71" s="20"/>
      <c r="G71" s="19"/>
      <c r="H71" s="8">
        <f t="shared" si="2"/>
        <v>0</v>
      </c>
      <c r="I71" s="8"/>
      <c r="J71" s="8"/>
      <c r="K71" s="25"/>
      <c r="L71" s="39"/>
      <c r="M71" s="8"/>
      <c r="N71" s="8"/>
    </row>
    <row r="72" spans="1:14" ht="45">
      <c r="A72" s="53" t="s">
        <v>141</v>
      </c>
      <c r="B72" s="38" t="s">
        <v>248</v>
      </c>
      <c r="C72" s="10" t="s">
        <v>12</v>
      </c>
      <c r="D72" s="12">
        <v>975</v>
      </c>
      <c r="E72" s="19" t="s">
        <v>143</v>
      </c>
      <c r="F72" s="20" t="s">
        <v>234</v>
      </c>
      <c r="G72" s="19" t="s">
        <v>144</v>
      </c>
      <c r="H72" s="8">
        <f t="shared" si="2"/>
        <v>3611.4999999999995</v>
      </c>
      <c r="I72" s="8">
        <v>1328.2</v>
      </c>
      <c r="J72" s="8">
        <v>761.1</v>
      </c>
      <c r="K72" s="25">
        <v>761.1</v>
      </c>
      <c r="L72" s="39">
        <v>253.7</v>
      </c>
      <c r="M72" s="8">
        <v>253.7</v>
      </c>
      <c r="N72" s="8">
        <v>253.7</v>
      </c>
    </row>
    <row r="73" spans="1:14" ht="59.25" customHeight="1">
      <c r="A73" s="54"/>
      <c r="B73" s="38" t="s">
        <v>142</v>
      </c>
      <c r="C73" s="10" t="s">
        <v>12</v>
      </c>
      <c r="D73" s="12">
        <v>975</v>
      </c>
      <c r="E73" s="19" t="s">
        <v>143</v>
      </c>
      <c r="F73" s="20" t="s">
        <v>217</v>
      </c>
      <c r="G73" s="19" t="s">
        <v>144</v>
      </c>
      <c r="H73" s="8">
        <f t="shared" si="2"/>
        <v>1310.2850000000001</v>
      </c>
      <c r="I73" s="8">
        <v>240</v>
      </c>
      <c r="J73" s="8">
        <v>461.7</v>
      </c>
      <c r="K73" s="25">
        <f>608.585</f>
        <v>608.58500000000004</v>
      </c>
      <c r="L73" s="39">
        <v>0</v>
      </c>
      <c r="M73" s="8">
        <v>0</v>
      </c>
      <c r="N73" s="8">
        <v>0</v>
      </c>
    </row>
    <row r="74" spans="1:14" ht="75">
      <c r="A74" s="55"/>
      <c r="B74" s="38" t="s">
        <v>249</v>
      </c>
      <c r="C74" s="10" t="s">
        <v>12</v>
      </c>
      <c r="D74" s="12">
        <v>975</v>
      </c>
      <c r="E74" s="19" t="s">
        <v>143</v>
      </c>
      <c r="F74" s="20" t="s">
        <v>235</v>
      </c>
      <c r="G74" s="19" t="s">
        <v>144</v>
      </c>
      <c r="H74" s="8">
        <f t="shared" si="2"/>
        <v>3126.5499999999997</v>
      </c>
      <c r="I74" s="8">
        <v>770.9</v>
      </c>
      <c r="J74" s="8">
        <v>745.9</v>
      </c>
      <c r="K74" s="25">
        <f>885.614</f>
        <v>885.61400000000003</v>
      </c>
      <c r="L74" s="39">
        <f>198.994+525.142</f>
        <v>724.13600000000008</v>
      </c>
      <c r="M74" s="8">
        <v>0</v>
      </c>
      <c r="N74" s="8">
        <v>0</v>
      </c>
    </row>
    <row r="75" spans="1:14">
      <c r="A75" s="10" t="s">
        <v>18</v>
      </c>
      <c r="B75" s="49" t="s">
        <v>145</v>
      </c>
      <c r="C75" s="50"/>
      <c r="D75" s="12"/>
      <c r="E75" s="19"/>
      <c r="F75" s="20"/>
      <c r="G75" s="19"/>
      <c r="H75" s="8">
        <f t="shared" si="2"/>
        <v>0</v>
      </c>
      <c r="I75" s="8"/>
      <c r="J75" s="8"/>
      <c r="K75" s="25"/>
      <c r="L75" s="39"/>
      <c r="M75" s="8"/>
      <c r="N75" s="8"/>
    </row>
    <row r="76" spans="1:14" ht="60">
      <c r="A76" s="43" t="s">
        <v>146</v>
      </c>
      <c r="B76" s="10" t="s">
        <v>147</v>
      </c>
      <c r="C76" s="10" t="s">
        <v>12</v>
      </c>
      <c r="D76" s="12">
        <v>975</v>
      </c>
      <c r="E76" s="19" t="s">
        <v>22</v>
      </c>
      <c r="F76" s="20" t="s">
        <v>148</v>
      </c>
      <c r="G76" s="19" t="s">
        <v>24</v>
      </c>
      <c r="H76" s="8">
        <f t="shared" si="2"/>
        <v>98722.132000000012</v>
      </c>
      <c r="I76" s="8">
        <v>19814.099999999999</v>
      </c>
      <c r="J76" s="8">
        <v>19109.900000000001</v>
      </c>
      <c r="K76" s="25">
        <f>14598.934</f>
        <v>14598.933999999999</v>
      </c>
      <c r="L76" s="39">
        <f>15053.7+12.4-126.082+30+85+17.58</f>
        <v>15072.598</v>
      </c>
      <c r="M76" s="8">
        <f>15050.9+12.4</f>
        <v>15063.3</v>
      </c>
      <c r="N76" s="8">
        <f>15050.9+12.4</f>
        <v>15063.3</v>
      </c>
    </row>
    <row r="77" spans="1:14" ht="60">
      <c r="A77" s="44"/>
      <c r="B77" s="10" t="s">
        <v>245</v>
      </c>
      <c r="C77" s="10" t="s">
        <v>12</v>
      </c>
      <c r="D77" s="12">
        <v>975</v>
      </c>
      <c r="E77" s="19" t="s">
        <v>22</v>
      </c>
      <c r="F77" s="20" t="s">
        <v>246</v>
      </c>
      <c r="G77" s="19" t="s">
        <v>24</v>
      </c>
      <c r="H77" s="8">
        <f t="shared" si="2"/>
        <v>359.8</v>
      </c>
      <c r="I77" s="8">
        <v>0</v>
      </c>
      <c r="J77" s="8">
        <v>0</v>
      </c>
      <c r="K77" s="25">
        <v>0</v>
      </c>
      <c r="L77" s="39">
        <v>359.8</v>
      </c>
      <c r="M77" s="8">
        <v>0</v>
      </c>
      <c r="N77" s="8">
        <v>0</v>
      </c>
    </row>
    <row r="78" spans="1:14" ht="60">
      <c r="A78" s="45"/>
      <c r="B78" s="10" t="s">
        <v>245</v>
      </c>
      <c r="C78" s="10" t="s">
        <v>12</v>
      </c>
      <c r="D78" s="12">
        <v>975</v>
      </c>
      <c r="E78" s="19" t="s">
        <v>22</v>
      </c>
      <c r="F78" s="20" t="s">
        <v>247</v>
      </c>
      <c r="G78" s="19" t="s">
        <v>24</v>
      </c>
      <c r="H78" s="8">
        <f t="shared" si="2"/>
        <v>3.63</v>
      </c>
      <c r="I78" s="8">
        <v>0</v>
      </c>
      <c r="J78" s="8">
        <v>0</v>
      </c>
      <c r="K78" s="25">
        <v>0</v>
      </c>
      <c r="L78" s="39">
        <v>3.63</v>
      </c>
      <c r="M78" s="8">
        <v>0</v>
      </c>
      <c r="N78" s="8">
        <v>0</v>
      </c>
    </row>
    <row r="79" spans="1:14">
      <c r="A79" s="10" t="s">
        <v>18</v>
      </c>
      <c r="B79" s="49" t="s">
        <v>145</v>
      </c>
      <c r="C79" s="50"/>
      <c r="D79" s="12"/>
      <c r="E79" s="19"/>
      <c r="F79" s="20"/>
      <c r="G79" s="19"/>
      <c r="H79" s="8">
        <f t="shared" si="2"/>
        <v>0</v>
      </c>
      <c r="I79" s="8"/>
      <c r="J79" s="8"/>
      <c r="K79" s="25"/>
      <c r="L79" s="39"/>
      <c r="M79" s="8"/>
      <c r="N79" s="8"/>
    </row>
    <row r="80" spans="1:14" ht="45.75" customHeight="1">
      <c r="A80" s="10" t="s">
        <v>149</v>
      </c>
      <c r="B80" s="10" t="s">
        <v>150</v>
      </c>
      <c r="C80" s="10" t="s">
        <v>12</v>
      </c>
      <c r="D80" s="12">
        <v>975</v>
      </c>
      <c r="E80" s="19" t="s">
        <v>22</v>
      </c>
      <c r="F80" s="20" t="s">
        <v>151</v>
      </c>
      <c r="G80" s="19" t="s">
        <v>24</v>
      </c>
      <c r="H80" s="8">
        <f t="shared" si="2"/>
        <v>1046</v>
      </c>
      <c r="I80" s="8">
        <v>0</v>
      </c>
      <c r="J80" s="8">
        <v>1046</v>
      </c>
      <c r="K80" s="25">
        <v>0</v>
      </c>
      <c r="L80" s="39">
        <v>0</v>
      </c>
      <c r="M80" s="8">
        <v>0</v>
      </c>
      <c r="N80" s="8">
        <v>0</v>
      </c>
    </row>
    <row r="81" spans="1:14" ht="45">
      <c r="A81" s="10" t="s">
        <v>152</v>
      </c>
      <c r="B81" s="10" t="s">
        <v>153</v>
      </c>
      <c r="C81" s="10" t="s">
        <v>12</v>
      </c>
      <c r="D81" s="12">
        <v>975</v>
      </c>
      <c r="E81" s="19" t="s">
        <v>22</v>
      </c>
      <c r="F81" s="20" t="s">
        <v>154</v>
      </c>
      <c r="G81" s="19" t="s">
        <v>24</v>
      </c>
      <c r="H81" s="8">
        <f t="shared" si="2"/>
        <v>615</v>
      </c>
      <c r="I81" s="8">
        <v>115</v>
      </c>
      <c r="J81" s="8">
        <v>75</v>
      </c>
      <c r="K81" s="25">
        <f>140-15</f>
        <v>125</v>
      </c>
      <c r="L81" s="39">
        <v>300</v>
      </c>
      <c r="M81" s="8">
        <v>0</v>
      </c>
      <c r="N81" s="8">
        <v>0</v>
      </c>
    </row>
    <row r="82" spans="1:14" ht="45">
      <c r="A82" s="10" t="s">
        <v>155</v>
      </c>
      <c r="B82" s="10" t="s">
        <v>156</v>
      </c>
      <c r="C82" s="10" t="s">
        <v>12</v>
      </c>
      <c r="D82" s="12">
        <v>975</v>
      </c>
      <c r="E82" s="19" t="s">
        <v>22</v>
      </c>
      <c r="F82" s="20" t="s">
        <v>220</v>
      </c>
      <c r="G82" s="19" t="s">
        <v>24</v>
      </c>
      <c r="H82" s="8">
        <f t="shared" si="2"/>
        <v>438.67899999999997</v>
      </c>
      <c r="I82" s="8">
        <v>179.2</v>
      </c>
      <c r="J82" s="8">
        <v>0</v>
      </c>
      <c r="K82" s="25">
        <f>111.669</f>
        <v>111.669</v>
      </c>
      <c r="L82" s="39">
        <f>100+60-12.19</f>
        <v>147.81</v>
      </c>
      <c r="M82" s="8">
        <v>0</v>
      </c>
      <c r="N82" s="8">
        <v>0</v>
      </c>
    </row>
    <row r="83" spans="1:14" ht="31.5" customHeight="1">
      <c r="A83" s="10" t="s">
        <v>18</v>
      </c>
      <c r="B83" s="49" t="s">
        <v>158</v>
      </c>
      <c r="C83" s="50"/>
      <c r="D83" s="12"/>
      <c r="E83" s="19"/>
      <c r="F83" s="20"/>
      <c r="G83" s="19"/>
      <c r="H83" s="8">
        <f t="shared" si="2"/>
        <v>0</v>
      </c>
      <c r="I83" s="8"/>
      <c r="J83" s="8"/>
      <c r="K83" s="25"/>
      <c r="L83" s="39"/>
      <c r="M83" s="8"/>
      <c r="N83" s="8"/>
    </row>
    <row r="84" spans="1:14" ht="90">
      <c r="A84" s="43" t="s">
        <v>227</v>
      </c>
      <c r="B84" s="10" t="s">
        <v>159</v>
      </c>
      <c r="C84" s="10" t="s">
        <v>12</v>
      </c>
      <c r="D84" s="12">
        <v>975</v>
      </c>
      <c r="E84" s="19" t="s">
        <v>22</v>
      </c>
      <c r="F84" s="20" t="s">
        <v>161</v>
      </c>
      <c r="G84" s="19" t="s">
        <v>24</v>
      </c>
      <c r="H84" s="8">
        <f t="shared" si="2"/>
        <v>290.5</v>
      </c>
      <c r="I84" s="8">
        <v>290.5</v>
      </c>
      <c r="J84" s="8">
        <v>0</v>
      </c>
      <c r="K84" s="25">
        <v>0</v>
      </c>
      <c r="L84" s="39">
        <v>0</v>
      </c>
      <c r="M84" s="8">
        <v>0</v>
      </c>
      <c r="N84" s="8">
        <v>0</v>
      </c>
    </row>
    <row r="85" spans="1:14" ht="75">
      <c r="A85" s="45"/>
      <c r="B85" s="10" t="s">
        <v>160</v>
      </c>
      <c r="C85" s="10" t="s">
        <v>12</v>
      </c>
      <c r="D85" s="12">
        <v>975</v>
      </c>
      <c r="E85" s="19" t="s">
        <v>22</v>
      </c>
      <c r="F85" s="20" t="s">
        <v>162</v>
      </c>
      <c r="G85" s="19" t="s">
        <v>24</v>
      </c>
      <c r="H85" s="8">
        <f t="shared" si="2"/>
        <v>1335.5</v>
      </c>
      <c r="I85" s="8">
        <v>1335.5</v>
      </c>
      <c r="J85" s="8">
        <v>0</v>
      </c>
      <c r="K85" s="25">
        <v>0</v>
      </c>
      <c r="L85" s="39">
        <v>0</v>
      </c>
      <c r="M85" s="8">
        <v>0</v>
      </c>
      <c r="N85" s="8">
        <v>0</v>
      </c>
    </row>
    <row r="86" spans="1:14" ht="45">
      <c r="A86" s="32" t="s">
        <v>228</v>
      </c>
      <c r="B86" s="10" t="s">
        <v>218</v>
      </c>
      <c r="C86" s="10" t="s">
        <v>12</v>
      </c>
      <c r="D86" s="12">
        <v>975</v>
      </c>
      <c r="E86" s="19" t="s">
        <v>22</v>
      </c>
      <c r="F86" s="20" t="s">
        <v>214</v>
      </c>
      <c r="G86" s="19" t="s">
        <v>24</v>
      </c>
      <c r="H86" s="8">
        <f t="shared" si="2"/>
        <v>76.084999999999994</v>
      </c>
      <c r="I86" s="8">
        <v>0</v>
      </c>
      <c r="J86" s="8">
        <v>0</v>
      </c>
      <c r="K86" s="25">
        <f>66.085</f>
        <v>66.084999999999994</v>
      </c>
      <c r="L86" s="39">
        <v>10</v>
      </c>
      <c r="M86" s="8">
        <v>0</v>
      </c>
      <c r="N86" s="8">
        <v>0</v>
      </c>
    </row>
    <row r="87" spans="1:14" ht="45">
      <c r="A87" s="36" t="s">
        <v>229</v>
      </c>
      <c r="B87" s="10" t="s">
        <v>225</v>
      </c>
      <c r="C87" s="10" t="s">
        <v>12</v>
      </c>
      <c r="D87" s="12">
        <v>975</v>
      </c>
      <c r="E87" s="19" t="s">
        <v>22</v>
      </c>
      <c r="F87" s="20" t="s">
        <v>230</v>
      </c>
      <c r="G87" s="19" t="s">
        <v>24</v>
      </c>
      <c r="H87" s="8">
        <f t="shared" ref="H87" si="7">SUM(I87:N87)</f>
        <v>33.333999999999996</v>
      </c>
      <c r="I87" s="8">
        <v>0</v>
      </c>
      <c r="J87" s="8">
        <v>0</v>
      </c>
      <c r="K87" s="25">
        <v>0</v>
      </c>
      <c r="L87" s="39">
        <f>33.3+0.034</f>
        <v>33.333999999999996</v>
      </c>
      <c r="M87" s="8">
        <v>0</v>
      </c>
      <c r="N87" s="8">
        <v>0</v>
      </c>
    </row>
    <row r="88" spans="1:14" ht="75">
      <c r="A88" s="37" t="s">
        <v>236</v>
      </c>
      <c r="B88" s="10" t="s">
        <v>237</v>
      </c>
      <c r="C88" s="10" t="s">
        <v>12</v>
      </c>
      <c r="D88" s="12">
        <v>975</v>
      </c>
      <c r="E88" s="19" t="s">
        <v>22</v>
      </c>
      <c r="F88" s="20" t="s">
        <v>238</v>
      </c>
      <c r="G88" s="19" t="s">
        <v>24</v>
      </c>
      <c r="H88" s="8">
        <f t="shared" ref="H88" si="8">SUM(I88:N88)</f>
        <v>300</v>
      </c>
      <c r="I88" s="8">
        <v>0</v>
      </c>
      <c r="J88" s="8">
        <v>0</v>
      </c>
      <c r="K88" s="25">
        <v>0</v>
      </c>
      <c r="L88" s="39">
        <v>300</v>
      </c>
      <c r="M88" s="8">
        <v>0</v>
      </c>
      <c r="N88" s="8">
        <v>0</v>
      </c>
    </row>
    <row r="89" spans="1:14" ht="78">
      <c r="A89" s="15" t="s">
        <v>163</v>
      </c>
      <c r="B89" s="15" t="s">
        <v>164</v>
      </c>
      <c r="C89" s="15" t="s">
        <v>254</v>
      </c>
      <c r="D89" s="16"/>
      <c r="E89" s="16"/>
      <c r="F89" s="17" t="s">
        <v>165</v>
      </c>
      <c r="G89" s="16"/>
      <c r="H89" s="34">
        <f t="shared" si="2"/>
        <v>11097.156999999999</v>
      </c>
      <c r="I89" s="22">
        <f>I91+I92+I93</f>
        <v>1415.6</v>
      </c>
      <c r="J89" s="22">
        <f t="shared" ref="J89:M89" si="9">J91+J92+J93</f>
        <v>2186.5</v>
      </c>
      <c r="K89" s="23">
        <f t="shared" si="9"/>
        <v>1687.817</v>
      </c>
      <c r="L89" s="22">
        <f t="shared" si="9"/>
        <v>1918.24</v>
      </c>
      <c r="M89" s="22">
        <f t="shared" si="9"/>
        <v>1944.5</v>
      </c>
      <c r="N89" s="22">
        <f t="shared" ref="N89" si="10">N91+N92+N93</f>
        <v>1944.5</v>
      </c>
    </row>
    <row r="90" spans="1:14" ht="30" customHeight="1">
      <c r="A90" s="10" t="s">
        <v>18</v>
      </c>
      <c r="B90" s="49" t="s">
        <v>164</v>
      </c>
      <c r="C90" s="50"/>
      <c r="D90" s="12"/>
      <c r="E90" s="19"/>
      <c r="F90" s="20"/>
      <c r="G90" s="19"/>
      <c r="H90" s="8">
        <f t="shared" si="2"/>
        <v>0</v>
      </c>
      <c r="I90" s="8"/>
      <c r="J90" s="8"/>
      <c r="K90" s="25"/>
      <c r="L90" s="39"/>
      <c r="M90" s="8"/>
      <c r="N90" s="8"/>
    </row>
    <row r="91" spans="1:14" ht="45" customHeight="1">
      <c r="A91" s="43" t="s">
        <v>166</v>
      </c>
      <c r="B91" s="10" t="s">
        <v>219</v>
      </c>
      <c r="C91" s="10" t="s">
        <v>12</v>
      </c>
      <c r="D91" s="12">
        <v>975</v>
      </c>
      <c r="E91" s="19" t="s">
        <v>22</v>
      </c>
      <c r="F91" s="20" t="s">
        <v>167</v>
      </c>
      <c r="G91" s="19" t="s">
        <v>173</v>
      </c>
      <c r="H91" s="8">
        <f t="shared" si="2"/>
        <v>4583.6309999999994</v>
      </c>
      <c r="I91" s="8">
        <v>350</v>
      </c>
      <c r="J91" s="8">
        <v>660.7</v>
      </c>
      <c r="K91" s="25">
        <f>862.135</f>
        <v>862.13499999999999</v>
      </c>
      <c r="L91" s="39">
        <f>862+98.32-15.9+41.471+2.275-1.37</f>
        <v>986.79599999999994</v>
      </c>
      <c r="M91" s="8">
        <v>862</v>
      </c>
      <c r="N91" s="8">
        <v>862</v>
      </c>
    </row>
    <row r="92" spans="1:14" ht="53.25" customHeight="1">
      <c r="A92" s="45"/>
      <c r="B92" s="10" t="s">
        <v>170</v>
      </c>
      <c r="C92" s="10" t="s">
        <v>12</v>
      </c>
      <c r="D92" s="12">
        <v>975</v>
      </c>
      <c r="E92" s="19" t="s">
        <v>22</v>
      </c>
      <c r="F92" s="20" t="s">
        <v>168</v>
      </c>
      <c r="G92" s="19" t="s">
        <v>24</v>
      </c>
      <c r="H92" s="8">
        <f t="shared" si="2"/>
        <v>4495.8150000000005</v>
      </c>
      <c r="I92" s="8">
        <v>707.8</v>
      </c>
      <c r="J92" s="8">
        <v>851.8</v>
      </c>
      <c r="K92" s="25">
        <v>729</v>
      </c>
      <c r="L92" s="39">
        <f>715.9-142.4+144.715</f>
        <v>718.21500000000003</v>
      </c>
      <c r="M92" s="8">
        <v>744.5</v>
      </c>
      <c r="N92" s="8">
        <v>744.5</v>
      </c>
    </row>
    <row r="93" spans="1:14" ht="45">
      <c r="A93" s="10" t="s">
        <v>169</v>
      </c>
      <c r="B93" s="10" t="s">
        <v>171</v>
      </c>
      <c r="C93" s="10" t="s">
        <v>12</v>
      </c>
      <c r="D93" s="12">
        <v>975</v>
      </c>
      <c r="E93" s="19" t="s">
        <v>22</v>
      </c>
      <c r="F93" s="20" t="s">
        <v>172</v>
      </c>
      <c r="G93" s="19" t="s">
        <v>53</v>
      </c>
      <c r="H93" s="8">
        <f t="shared" si="2"/>
        <v>2017.711</v>
      </c>
      <c r="I93" s="8">
        <v>357.8</v>
      </c>
      <c r="J93" s="8">
        <v>674</v>
      </c>
      <c r="K93" s="25">
        <f>96.682</f>
        <v>96.682000000000002</v>
      </c>
      <c r="L93" s="39">
        <f>338-98.32-25.546-2.275+1.37</f>
        <v>213.22900000000001</v>
      </c>
      <c r="M93" s="8">
        <v>338</v>
      </c>
      <c r="N93" s="8">
        <v>338</v>
      </c>
    </row>
    <row r="94" spans="1:14" ht="78">
      <c r="A94" s="15" t="s">
        <v>174</v>
      </c>
      <c r="B94" s="15" t="s">
        <v>175</v>
      </c>
      <c r="C94" s="15" t="s">
        <v>252</v>
      </c>
      <c r="D94" s="16"/>
      <c r="E94" s="16"/>
      <c r="F94" s="17" t="s">
        <v>176</v>
      </c>
      <c r="G94" s="16"/>
      <c r="H94" s="8">
        <f t="shared" si="2"/>
        <v>164.93599999999998</v>
      </c>
      <c r="I94" s="22">
        <f>I96+I98</f>
        <v>48.6</v>
      </c>
      <c r="J94" s="22">
        <f t="shared" ref="J94:M94" si="11">J96+J98</f>
        <v>45.599999999999994</v>
      </c>
      <c r="K94" s="23">
        <f t="shared" si="11"/>
        <v>53.6</v>
      </c>
      <c r="L94" s="22">
        <f t="shared" si="11"/>
        <v>17.135999999999999</v>
      </c>
      <c r="M94" s="22">
        <f t="shared" si="11"/>
        <v>0</v>
      </c>
      <c r="N94" s="22">
        <f t="shared" ref="N94" si="12">N96+N98</f>
        <v>0</v>
      </c>
    </row>
    <row r="95" spans="1:14" ht="31.5" customHeight="1">
      <c r="A95" s="10" t="s">
        <v>18</v>
      </c>
      <c r="B95" s="49" t="s">
        <v>177</v>
      </c>
      <c r="C95" s="50"/>
      <c r="D95" s="12"/>
      <c r="E95" s="19"/>
      <c r="F95" s="20"/>
      <c r="G95" s="19"/>
      <c r="H95" s="8">
        <f t="shared" si="2"/>
        <v>0</v>
      </c>
      <c r="I95" s="8"/>
      <c r="J95" s="8"/>
      <c r="K95" s="25"/>
      <c r="L95" s="39"/>
      <c r="M95" s="8"/>
      <c r="N95" s="8"/>
    </row>
    <row r="96" spans="1:14" ht="45">
      <c r="A96" s="10" t="s">
        <v>179</v>
      </c>
      <c r="B96" s="10" t="s">
        <v>178</v>
      </c>
      <c r="C96" s="10" t="s">
        <v>12</v>
      </c>
      <c r="D96" s="12">
        <v>975</v>
      </c>
      <c r="E96" s="19" t="s">
        <v>22</v>
      </c>
      <c r="F96" s="20" t="s">
        <v>180</v>
      </c>
      <c r="G96" s="19" t="s">
        <v>181</v>
      </c>
      <c r="H96" s="8">
        <f t="shared" si="2"/>
        <v>89.036000000000001</v>
      </c>
      <c r="I96" s="8">
        <v>27.5</v>
      </c>
      <c r="J96" s="8">
        <v>24.9</v>
      </c>
      <c r="K96" s="25">
        <f>32.5</f>
        <v>32.5</v>
      </c>
      <c r="L96" s="39">
        <f>12-7.864</f>
        <v>4.1360000000000001</v>
      </c>
      <c r="M96" s="8">
        <v>0</v>
      </c>
      <c r="N96" s="8">
        <v>0</v>
      </c>
    </row>
    <row r="97" spans="1:14" ht="46.5" customHeight="1">
      <c r="A97" s="10" t="s">
        <v>18</v>
      </c>
      <c r="B97" s="49" t="s">
        <v>182</v>
      </c>
      <c r="C97" s="50"/>
      <c r="D97" s="12"/>
      <c r="E97" s="19"/>
      <c r="F97" s="20"/>
      <c r="G97" s="19"/>
      <c r="H97" s="8">
        <f t="shared" si="2"/>
        <v>0</v>
      </c>
      <c r="I97" s="8"/>
      <c r="J97" s="8"/>
      <c r="K97" s="25"/>
      <c r="L97" s="39"/>
      <c r="M97" s="8"/>
      <c r="N97" s="8"/>
    </row>
    <row r="98" spans="1:14" ht="45">
      <c r="A98" s="10" t="s">
        <v>183</v>
      </c>
      <c r="B98" s="10" t="s">
        <v>184</v>
      </c>
      <c r="C98" s="10" t="s">
        <v>12</v>
      </c>
      <c r="D98" s="12">
        <v>975</v>
      </c>
      <c r="E98" s="19" t="s">
        <v>22</v>
      </c>
      <c r="F98" s="20" t="s">
        <v>201</v>
      </c>
      <c r="G98" s="19" t="s">
        <v>181</v>
      </c>
      <c r="H98" s="8">
        <f t="shared" si="2"/>
        <v>75.900000000000006</v>
      </c>
      <c r="I98" s="8">
        <v>21.1</v>
      </c>
      <c r="J98" s="8">
        <v>20.7</v>
      </c>
      <c r="K98" s="25">
        <v>21.1</v>
      </c>
      <c r="L98" s="39">
        <v>13</v>
      </c>
      <c r="M98" s="8">
        <v>0</v>
      </c>
      <c r="N98" s="8">
        <v>0</v>
      </c>
    </row>
    <row r="99" spans="1:14" ht="78">
      <c r="A99" s="15" t="s">
        <v>185</v>
      </c>
      <c r="B99" s="15" t="s">
        <v>186</v>
      </c>
      <c r="C99" s="15" t="s">
        <v>254</v>
      </c>
      <c r="D99" s="16"/>
      <c r="E99" s="16"/>
      <c r="F99" s="17" t="s">
        <v>187</v>
      </c>
      <c r="G99" s="16"/>
      <c r="H99" s="34">
        <f t="shared" si="2"/>
        <v>101970.04399999999</v>
      </c>
      <c r="I99" s="22">
        <f>I101+I102</f>
        <v>14457.8</v>
      </c>
      <c r="J99" s="22">
        <f t="shared" ref="J99:M99" si="13">J101+J102</f>
        <v>17711</v>
      </c>
      <c r="K99" s="23">
        <f t="shared" si="13"/>
        <v>18075.885999999999</v>
      </c>
      <c r="L99" s="22">
        <f t="shared" si="13"/>
        <v>17458.186000000002</v>
      </c>
      <c r="M99" s="22">
        <f t="shared" si="13"/>
        <v>17193.585999999999</v>
      </c>
      <c r="N99" s="22">
        <f t="shared" ref="N99" si="14">N101+N102</f>
        <v>17073.585999999999</v>
      </c>
    </row>
    <row r="100" spans="1:14" ht="32.25" customHeight="1">
      <c r="A100" s="10" t="s">
        <v>18</v>
      </c>
      <c r="B100" s="49" t="s">
        <v>188</v>
      </c>
      <c r="C100" s="50"/>
      <c r="D100" s="12"/>
      <c r="E100" s="19"/>
      <c r="F100" s="20"/>
      <c r="G100" s="19"/>
      <c r="H100" s="8">
        <f t="shared" si="2"/>
        <v>0</v>
      </c>
      <c r="I100" s="8"/>
      <c r="J100" s="8"/>
      <c r="K100" s="25"/>
      <c r="L100" s="39"/>
      <c r="M100" s="8"/>
      <c r="N100" s="8"/>
    </row>
    <row r="101" spans="1:14" ht="45">
      <c r="A101" s="10" t="s">
        <v>189</v>
      </c>
      <c r="B101" s="10" t="s">
        <v>191</v>
      </c>
      <c r="C101" s="10" t="s">
        <v>12</v>
      </c>
      <c r="D101" s="12">
        <v>975</v>
      </c>
      <c r="E101" s="19" t="s">
        <v>22</v>
      </c>
      <c r="F101" s="20" t="s">
        <v>193</v>
      </c>
      <c r="G101" s="19" t="s">
        <v>194</v>
      </c>
      <c r="H101" s="8">
        <f t="shared" ref="H101:H102" si="15">SUM(I101:N101)</f>
        <v>90355.443999999989</v>
      </c>
      <c r="I101" s="8">
        <v>2843.2</v>
      </c>
      <c r="J101" s="8">
        <v>17711</v>
      </c>
      <c r="K101" s="25">
        <f>18075.886</f>
        <v>18075.885999999999</v>
      </c>
      <c r="L101" s="39">
        <f>17123.686+34.5+300</f>
        <v>17458.186000000002</v>
      </c>
      <c r="M101" s="8">
        <v>17193.585999999999</v>
      </c>
      <c r="N101" s="8">
        <v>17073.585999999999</v>
      </c>
    </row>
    <row r="102" spans="1:14" ht="52.5" customHeight="1">
      <c r="A102" s="10" t="s">
        <v>190</v>
      </c>
      <c r="B102" s="10" t="s">
        <v>192</v>
      </c>
      <c r="C102" s="10" t="s">
        <v>12</v>
      </c>
      <c r="D102" s="12">
        <v>975</v>
      </c>
      <c r="E102" s="19" t="s">
        <v>22</v>
      </c>
      <c r="F102" s="20" t="s">
        <v>195</v>
      </c>
      <c r="G102" s="19" t="s">
        <v>194</v>
      </c>
      <c r="H102" s="8">
        <f t="shared" si="15"/>
        <v>11614.6</v>
      </c>
      <c r="I102" s="8">
        <v>11614.6</v>
      </c>
      <c r="J102" s="8">
        <v>0</v>
      </c>
      <c r="K102" s="25">
        <v>0</v>
      </c>
      <c r="L102" s="39">
        <v>0</v>
      </c>
      <c r="M102" s="8">
        <v>0</v>
      </c>
      <c r="N102" s="8">
        <v>0</v>
      </c>
    </row>
  </sheetData>
  <mergeCells count="38">
    <mergeCell ref="J1:N1"/>
    <mergeCell ref="J2:N2"/>
    <mergeCell ref="H7:N7"/>
    <mergeCell ref="J3:N3"/>
    <mergeCell ref="A5:N5"/>
    <mergeCell ref="C7:C8"/>
    <mergeCell ref="J4:N4"/>
    <mergeCell ref="A40:A41"/>
    <mergeCell ref="B68:C68"/>
    <mergeCell ref="B71:C71"/>
    <mergeCell ref="A72:A74"/>
    <mergeCell ref="B75:C75"/>
    <mergeCell ref="B83:C83"/>
    <mergeCell ref="B50:C50"/>
    <mergeCell ref="A51:A53"/>
    <mergeCell ref="B54:C54"/>
    <mergeCell ref="B60:C60"/>
    <mergeCell ref="B62:C62"/>
    <mergeCell ref="B65:C65"/>
    <mergeCell ref="B79:C79"/>
    <mergeCell ref="A76:A78"/>
    <mergeCell ref="B100:C100"/>
    <mergeCell ref="A84:A85"/>
    <mergeCell ref="B90:C90"/>
    <mergeCell ref="A91:A92"/>
    <mergeCell ref="B95:C95"/>
    <mergeCell ref="B97:C97"/>
    <mergeCell ref="A35:A38"/>
    <mergeCell ref="A31:A32"/>
    <mergeCell ref="D7:G7"/>
    <mergeCell ref="B17:C17"/>
    <mergeCell ref="B11:C11"/>
    <mergeCell ref="A12:A13"/>
    <mergeCell ref="A14:A15"/>
    <mergeCell ref="A7:A8"/>
    <mergeCell ref="B7:B8"/>
    <mergeCell ref="A20:A21"/>
    <mergeCell ref="B22:C22"/>
  </mergeCells>
  <pageMargins left="0.25" right="0.25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2017-09-29T06:37:07Z</dcterms:modified>
</cp:coreProperties>
</file>