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6"/>
  </bookViews>
  <sheets>
    <sheet name="лето" sheetId="1" r:id="rId1"/>
    <sheet name="весна, осень" sheetId="2" r:id="rId2"/>
    <sheet name="твое призвание" sheetId="15" r:id="rId3"/>
    <sheet name="школа мол. актива (дневной)" sheetId="3" r:id="rId4"/>
    <sheet name="мы-патриоты (дневной)" sheetId="13" r:id="rId5"/>
    <sheet name="слет кадетов (дневной)" sheetId="17" r:id="rId6"/>
    <sheet name="путевки" sheetId="11" r:id="rId7"/>
    <sheet name="Лист4" sheetId="14" r:id="rId8"/>
  </sheets>
  <definedNames>
    <definedName name="_xlnm.Print_Area" localSheetId="6">путевки!$A$1:$R$36</definedName>
  </definedNames>
  <calcPr calcId="145621"/>
</workbook>
</file>

<file path=xl/calcChain.xml><?xml version="1.0" encoding="utf-8"?>
<calcChain xmlns="http://schemas.openxmlformats.org/spreadsheetml/2006/main">
  <c r="O23" i="11" l="1"/>
  <c r="K23" i="11"/>
  <c r="O22" i="11"/>
  <c r="E12" i="2" l="1"/>
  <c r="E11" i="2"/>
  <c r="Q24" i="11" l="1"/>
  <c r="O24" i="11"/>
  <c r="K25" i="11" l="1"/>
  <c r="L25" i="11"/>
  <c r="M25" i="11"/>
  <c r="O25" i="11"/>
  <c r="R25" i="11"/>
  <c r="P24" i="11"/>
  <c r="F25" i="11"/>
  <c r="K24" i="11"/>
  <c r="I24" i="11"/>
  <c r="H24" i="11"/>
  <c r="J24" i="11" s="1"/>
  <c r="N24" i="11"/>
  <c r="I23" i="11" l="1"/>
  <c r="I25" i="11" s="1"/>
  <c r="H23" i="11"/>
  <c r="H25" i="11" s="1"/>
  <c r="J23" i="11" l="1"/>
  <c r="N23" i="11"/>
  <c r="N25" i="11" s="1"/>
  <c r="O15" i="11"/>
  <c r="Q23" i="11" l="1"/>
  <c r="J25" i="11"/>
  <c r="I20" i="11"/>
  <c r="Q25" i="11" l="1"/>
  <c r="P23" i="11"/>
  <c r="P25" i="11" s="1"/>
  <c r="H19" i="11"/>
  <c r="J19" i="11" s="1"/>
  <c r="O19" i="11" s="1"/>
  <c r="I22" i="11"/>
  <c r="H22" i="11"/>
  <c r="J22" i="11"/>
  <c r="N22" i="11" s="1"/>
  <c r="H16" i="11" l="1"/>
  <c r="M18" i="11"/>
  <c r="L18" i="11"/>
  <c r="H18" i="11"/>
  <c r="F30" i="11" l="1"/>
  <c r="Q16" i="11"/>
  <c r="L16" i="11"/>
  <c r="I16" i="11"/>
  <c r="L33" i="11"/>
  <c r="L32" i="11"/>
  <c r="E12" i="17" l="1"/>
  <c r="M30" i="1" l="1"/>
  <c r="M12" i="1"/>
  <c r="N12" i="1"/>
  <c r="S12" i="1"/>
  <c r="D12" i="1"/>
  <c r="E12" i="1"/>
  <c r="F12" i="1"/>
  <c r="C12" i="1"/>
  <c r="K15" i="11" l="1"/>
  <c r="H20" i="11"/>
  <c r="J20" i="11" s="1"/>
  <c r="O20" i="11" s="1"/>
  <c r="N20" i="11" l="1"/>
  <c r="P20" i="11"/>
  <c r="Q32" i="11"/>
  <c r="P32" i="11" s="1"/>
  <c r="K32" i="11"/>
  <c r="I32" i="11"/>
  <c r="L28" i="11"/>
  <c r="Q28" i="11" s="1"/>
  <c r="P28" i="11" s="1"/>
  <c r="K28" i="11"/>
  <c r="O28" i="11" s="1"/>
  <c r="N28" i="11" s="1"/>
  <c r="I28" i="11"/>
  <c r="L15" i="11"/>
  <c r="O32" i="11" l="1"/>
  <c r="N32" i="11" s="1"/>
  <c r="N15" i="11"/>
  <c r="M15" i="11"/>
  <c r="R15" i="11" s="1"/>
  <c r="H15" i="11"/>
  <c r="I15" i="11" s="1"/>
  <c r="I14" i="11"/>
  <c r="H14" i="11"/>
  <c r="L14" i="11"/>
  <c r="J15" i="11" l="1"/>
  <c r="L13" i="11" l="1"/>
  <c r="D14" i="2" l="1"/>
  <c r="C14" i="2"/>
  <c r="F17" i="2"/>
  <c r="D11" i="2"/>
  <c r="C11" i="2"/>
  <c r="E13" i="2"/>
  <c r="F12" i="2"/>
  <c r="F11" i="2" s="1"/>
  <c r="M31" i="1" l="1"/>
  <c r="N31" i="1"/>
  <c r="P16" i="1"/>
  <c r="O16" i="1"/>
  <c r="L16" i="1"/>
  <c r="L12" i="1" s="1"/>
  <c r="K16" i="1"/>
  <c r="O15" i="1"/>
  <c r="K15" i="1"/>
  <c r="K12" i="1" l="1"/>
  <c r="G11" i="2"/>
  <c r="H12" i="11"/>
  <c r="M12" i="11"/>
  <c r="L12" i="11"/>
  <c r="K12" i="11"/>
  <c r="I12" i="11"/>
  <c r="H21" i="11"/>
  <c r="J21" i="11" s="1"/>
  <c r="O21" i="11" s="1"/>
  <c r="H17" i="11"/>
  <c r="J17" i="11" s="1"/>
  <c r="O17" i="11" s="1"/>
  <c r="H13" i="11"/>
  <c r="Q21" i="11" l="1"/>
  <c r="P21" i="11" s="1"/>
  <c r="N21" i="11"/>
  <c r="N19" i="11"/>
  <c r="Q19" i="11"/>
  <c r="N17" i="11"/>
  <c r="P17" i="11"/>
  <c r="J34" i="11"/>
  <c r="M34" i="11"/>
  <c r="R34" i="11"/>
  <c r="H34" i="11"/>
  <c r="F34" i="11"/>
  <c r="Q33" i="11"/>
  <c r="P33" i="11" s="1"/>
  <c r="P34" i="11" s="1"/>
  <c r="K33" i="11"/>
  <c r="O33" i="11" s="1"/>
  <c r="N33" i="11" s="1"/>
  <c r="N34" i="11" s="1"/>
  <c r="I33" i="11"/>
  <c r="I34" i="11" s="1"/>
  <c r="J30" i="11"/>
  <c r="M30" i="11"/>
  <c r="R30" i="11"/>
  <c r="H30" i="11"/>
  <c r="L29" i="11"/>
  <c r="Q29" i="11" s="1"/>
  <c r="P29" i="11" s="1"/>
  <c r="I29" i="11"/>
  <c r="L27" i="11"/>
  <c r="Q27" i="11" s="1"/>
  <c r="K27" i="11"/>
  <c r="I27" i="11"/>
  <c r="I18" i="11"/>
  <c r="M16" i="11"/>
  <c r="M14" i="11"/>
  <c r="R14" i="11" s="1"/>
  <c r="I13" i="11"/>
  <c r="J14" i="11"/>
  <c r="Q14" i="11" s="1"/>
  <c r="P14" i="11" s="1"/>
  <c r="M13" i="11"/>
  <c r="R13" i="11" s="1"/>
  <c r="K13" i="11"/>
  <c r="R36" i="11" l="1"/>
  <c r="M36" i="11"/>
  <c r="P19" i="11"/>
  <c r="K34" i="11"/>
  <c r="J13" i="11"/>
  <c r="Q13" i="11" s="1"/>
  <c r="P13" i="11" s="1"/>
  <c r="O34" i="11"/>
  <c r="I30" i="11"/>
  <c r="L34" i="11"/>
  <c r="K30" i="11"/>
  <c r="K36" i="11" s="1"/>
  <c r="O27" i="11"/>
  <c r="F36" i="11"/>
  <c r="Q34" i="11"/>
  <c r="J12" i="11"/>
  <c r="J16" i="11"/>
  <c r="J18" i="11"/>
  <c r="Q18" i="11" s="1"/>
  <c r="P18" i="11" s="1"/>
  <c r="Q30" i="11"/>
  <c r="P27" i="11"/>
  <c r="P30" i="11" s="1"/>
  <c r="H36" i="11"/>
  <c r="L30" i="11"/>
  <c r="L30" i="1"/>
  <c r="K30" i="1"/>
  <c r="E11" i="3"/>
  <c r="E11" i="15"/>
  <c r="J36" i="11" l="1"/>
  <c r="I36" i="11"/>
  <c r="Q12" i="11"/>
  <c r="L36" i="11"/>
  <c r="N27" i="11"/>
  <c r="N30" i="11" s="1"/>
  <c r="N36" i="11" s="1"/>
  <c r="O30" i="11"/>
  <c r="O36" i="11" s="1"/>
  <c r="P16" i="11" l="1"/>
  <c r="Q36" i="11"/>
  <c r="P12" i="11"/>
  <c r="K27" i="1"/>
  <c r="K26" i="1"/>
  <c r="K25" i="1"/>
  <c r="K23" i="1"/>
  <c r="K22" i="1"/>
  <c r="K20" i="1"/>
  <c r="L19" i="1"/>
  <c r="K19" i="1"/>
  <c r="L17" i="1"/>
  <c r="K17" i="1"/>
  <c r="J11" i="1"/>
  <c r="I11" i="1"/>
  <c r="H11" i="1"/>
  <c r="G11" i="1"/>
  <c r="O27" i="1"/>
  <c r="O26" i="1"/>
  <c r="O25" i="1"/>
  <c r="O23" i="1"/>
  <c r="O22" i="1"/>
  <c r="O20" i="1"/>
  <c r="P19" i="1"/>
  <c r="O19" i="1"/>
  <c r="O14" i="1"/>
  <c r="R13" i="1"/>
  <c r="R12" i="1" s="1"/>
  <c r="Q13" i="1"/>
  <c r="Q12" i="1" s="1"/>
  <c r="P13" i="1"/>
  <c r="P12" i="1" s="1"/>
  <c r="O13" i="1"/>
  <c r="O12" i="1" s="1"/>
  <c r="R30" i="1"/>
  <c r="Q30" i="1"/>
  <c r="P30" i="1"/>
  <c r="O30" i="1"/>
  <c r="O29" i="1"/>
  <c r="P28" i="1"/>
  <c r="O28" i="1"/>
  <c r="P17" i="1"/>
  <c r="O17" i="1"/>
  <c r="P11" i="1"/>
  <c r="Q11" i="1"/>
  <c r="R11" i="1"/>
  <c r="O11" i="1"/>
  <c r="J30" i="1"/>
  <c r="G14" i="1"/>
  <c r="J13" i="1"/>
  <c r="J12" i="1" s="1"/>
  <c r="I13" i="1"/>
  <c r="I12" i="1" s="1"/>
  <c r="H13" i="1"/>
  <c r="H12" i="1" s="1"/>
  <c r="G13" i="1"/>
  <c r="G12" i="1" s="1"/>
  <c r="P36" i="11" l="1"/>
  <c r="S11" i="1"/>
  <c r="G31" i="1"/>
  <c r="J31" i="1"/>
  <c r="H31" i="1"/>
  <c r="I31" i="1"/>
  <c r="E12" i="13"/>
  <c r="F13" i="3"/>
  <c r="S30" i="1" l="1"/>
  <c r="K29" i="1"/>
  <c r="S29" i="1" s="1"/>
  <c r="L28" i="1"/>
  <c r="K28" i="1"/>
  <c r="K24" i="1"/>
  <c r="K21" i="1"/>
  <c r="L18" i="1"/>
  <c r="L31" i="1" s="1"/>
  <c r="K18" i="1"/>
  <c r="S17" i="1"/>
  <c r="R18" i="1"/>
  <c r="R21" i="1"/>
  <c r="R24" i="1"/>
  <c r="P24" i="1"/>
  <c r="Q24" i="1"/>
  <c r="O24" i="1"/>
  <c r="D24" i="1"/>
  <c r="E24" i="1"/>
  <c r="F24" i="1"/>
  <c r="C24" i="1"/>
  <c r="D21" i="1"/>
  <c r="E21" i="1"/>
  <c r="F21" i="1"/>
  <c r="E18" i="1"/>
  <c r="E31" i="1" s="1"/>
  <c r="F18" i="1"/>
  <c r="F31" i="1" l="1"/>
  <c r="R31" i="1"/>
  <c r="K31" i="1"/>
  <c r="C53" i="1" s="1"/>
  <c r="S28" i="1"/>
  <c r="S24" i="1"/>
  <c r="F14" i="17" l="1"/>
  <c r="D14" i="17"/>
  <c r="C14" i="17"/>
  <c r="G14" i="17"/>
  <c r="H12" i="17" l="1"/>
  <c r="H14" i="17" s="1"/>
  <c r="E14" i="17"/>
  <c r="D13" i="15" l="1"/>
  <c r="D14" i="13"/>
  <c r="C14" i="13"/>
  <c r="D13" i="3"/>
  <c r="E14" i="13" l="1"/>
  <c r="F14" i="13"/>
  <c r="C13" i="3"/>
  <c r="E13" i="15"/>
  <c r="G13" i="15"/>
  <c r="H12" i="13" l="1"/>
  <c r="H14" i="13" s="1"/>
  <c r="G14" i="13"/>
  <c r="H11" i="15"/>
  <c r="H13" i="15" s="1"/>
  <c r="F31" i="2"/>
  <c r="E31" i="2"/>
  <c r="F30" i="2"/>
  <c r="E30" i="2"/>
  <c r="F29" i="2"/>
  <c r="E29" i="2"/>
  <c r="E28" i="2"/>
  <c r="F28" i="2"/>
  <c r="F27" i="2"/>
  <c r="E27" i="2"/>
  <c r="F26" i="2"/>
  <c r="E26" i="2"/>
  <c r="F24" i="2"/>
  <c r="E24" i="2"/>
  <c r="F23" i="2"/>
  <c r="E23" i="2"/>
  <c r="F21" i="2"/>
  <c r="E21" i="2"/>
  <c r="F20" i="2"/>
  <c r="E20" i="2"/>
  <c r="F18" i="2"/>
  <c r="E18" i="2"/>
  <c r="F16" i="2"/>
  <c r="F15" i="2"/>
  <c r="E16" i="2"/>
  <c r="E15" i="2"/>
  <c r="D25" i="2"/>
  <c r="C25" i="2"/>
  <c r="D22" i="2"/>
  <c r="C22" i="2"/>
  <c r="D19" i="2"/>
  <c r="C19" i="2"/>
  <c r="C32" i="2" s="1"/>
  <c r="C21" i="1"/>
  <c r="D18" i="1"/>
  <c r="D31" i="1" s="1"/>
  <c r="C18" i="1"/>
  <c r="D32" i="2" l="1"/>
  <c r="F19" i="2"/>
  <c r="F22" i="2"/>
  <c r="E14" i="2"/>
  <c r="G29" i="2"/>
  <c r="C31" i="1"/>
  <c r="F14" i="2"/>
  <c r="E19" i="2"/>
  <c r="E32" i="2" s="1"/>
  <c r="E22" i="2"/>
  <c r="G22" i="2" s="1"/>
  <c r="E25" i="2"/>
  <c r="G18" i="2"/>
  <c r="F25" i="2"/>
  <c r="G25" i="2" s="1"/>
  <c r="G31" i="2"/>
  <c r="P21" i="1"/>
  <c r="G30" i="2"/>
  <c r="O18" i="1"/>
  <c r="Q21" i="1"/>
  <c r="P18" i="1"/>
  <c r="P31" i="1" s="1"/>
  <c r="Q18" i="1"/>
  <c r="O21" i="1"/>
  <c r="F32" i="2" l="1"/>
  <c r="G14" i="2"/>
  <c r="Q31" i="1"/>
  <c r="O31" i="1"/>
  <c r="G19" i="2"/>
  <c r="C52" i="1"/>
  <c r="S21" i="1"/>
  <c r="S18" i="1"/>
  <c r="G32" i="2" l="1"/>
  <c r="S31" i="1"/>
  <c r="E13" i="3"/>
  <c r="C54" i="1" s="1"/>
  <c r="G13" i="3"/>
  <c r="H11" i="3" l="1"/>
  <c r="H13" i="3" s="1"/>
</calcChain>
</file>

<file path=xl/sharedStrings.xml><?xml version="1.0" encoding="utf-8"?>
<sst xmlns="http://schemas.openxmlformats.org/spreadsheetml/2006/main" count="354" uniqueCount="178">
  <si>
    <t>Наименование образовательной организации</t>
  </si>
  <si>
    <t>Численность детей в смену</t>
  </si>
  <si>
    <t>1 смена (июнь)</t>
  </si>
  <si>
    <t>Источники финансирования</t>
  </si>
  <si>
    <t>Итого</t>
  </si>
  <si>
    <t>№ п/п</t>
  </si>
  <si>
    <t>средства республиканского бюджета</t>
  </si>
  <si>
    <t>средства местного бюджета</t>
  </si>
  <si>
    <t>МБОУ "СОШ №2" г. Емва</t>
  </si>
  <si>
    <t>- учебный корпус в г. Емва</t>
  </si>
  <si>
    <t>- учебный корпус в пст. Тракт</t>
  </si>
  <si>
    <t>МАОУ "НШДС" г. Емвы</t>
  </si>
  <si>
    <t>МБОУ "СОШ" пгт. Синдор</t>
  </si>
  <si>
    <t>- учебный корпус в пгт. Синдор</t>
  </si>
  <si>
    <t>- учебный корпус в пст. Иоссер</t>
  </si>
  <si>
    <t>МАОУ "СОШ" с. Серёгово</t>
  </si>
  <si>
    <t>- учебный корпус в с. Серёгово</t>
  </si>
  <si>
    <t>- учебный корпус в пст. Ляли</t>
  </si>
  <si>
    <t>МБОУ "СОШ" с. Шошка</t>
  </si>
  <si>
    <t>МБОУ "СОШ" пст. Чиньяворык</t>
  </si>
  <si>
    <t>МБОУ "СОШ" пст. Чернореченский</t>
  </si>
  <si>
    <t>План организации оздоровительных лагерей с дневным пребыванием детей при образовательных организациях района в период летних каникул</t>
  </si>
  <si>
    <t xml:space="preserve">МБОУ "СОШ №1" г. Емвы </t>
  </si>
  <si>
    <t>осенние каникулы</t>
  </si>
  <si>
    <t>Приложение №2</t>
  </si>
  <si>
    <t>к Постановлению администрации</t>
  </si>
  <si>
    <t>муниципального района "Княжпогостский"</t>
  </si>
  <si>
    <t>План организации оздоровительных лагерей с дневным пребыванием детей при образовательных организациях района в период осенних и зимних каникул</t>
  </si>
  <si>
    <t>Приложение №3</t>
  </si>
  <si>
    <t>Примечание 1:</t>
  </si>
  <si>
    <t>Примечание 2:</t>
  </si>
  <si>
    <t>1 смена (июль)</t>
  </si>
  <si>
    <t>Численность сопровождающих</t>
  </si>
  <si>
    <t>Приложение №7</t>
  </si>
  <si>
    <t>2. Дети, чьи семьи относятся к категории малоимущих, освобождаются от уплаты родительского взноса.</t>
  </si>
  <si>
    <t>4. Сумма оплаты страховки на период действия лагеря с дневным пребыванием не входит в родительский взнос. Оплата страхового взноса осуществляется родителями.</t>
  </si>
  <si>
    <t>1 смена (июнь),            91 р/д * 14 раб. дней</t>
  </si>
  <si>
    <t>осенние каникулы,            91 р/д * 5 раб. дней</t>
  </si>
  <si>
    <t>План мероприятий по оздоровлению детей школьного возраста в детских оздоровительных лагерях и санаториях в Республике Коми и за ее пределами</t>
  </si>
  <si>
    <t>№</t>
  </si>
  <si>
    <t>Место отдыха</t>
  </si>
  <si>
    <t>Категория детей</t>
  </si>
  <si>
    <t>кол-во дней</t>
  </si>
  <si>
    <t>Кол-во путёвок</t>
  </si>
  <si>
    <t>Цена путёвки без проезда (руб.)</t>
  </si>
  <si>
    <t>Стоимость проезда (руб.)</t>
  </si>
  <si>
    <t>софинансирование МБ детям/сопров.</t>
  </si>
  <si>
    <t>оплата родителями</t>
  </si>
  <si>
    <t>оплата проезда сопровождающим (самостоятельно)</t>
  </si>
  <si>
    <t>для детей</t>
  </si>
  <si>
    <t>для сопровождающих</t>
  </si>
  <si>
    <t>софин РБ</t>
  </si>
  <si>
    <t>Итого стоимость путевки для детей</t>
  </si>
  <si>
    <t>на 1 чел</t>
  </si>
  <si>
    <t>всего</t>
  </si>
  <si>
    <t>на 1 чел.</t>
  </si>
  <si>
    <t xml:space="preserve"> Оздоровительный лагерь с круглосуточным пребыванием детей при образовательных организациях района в период осенних каникул</t>
  </si>
  <si>
    <t>- учебный корпус в с. Шошка</t>
  </si>
  <si>
    <t>- учебный корпус в пст. Мещура</t>
  </si>
  <si>
    <t>1. Родительский взнос в виде безвозмездного поступления в размере 300 рублей с одного ребенка в смену.</t>
  </si>
  <si>
    <t>Родительский взнос за смену (300 рублей) без учета детей ТЖС</t>
  </si>
  <si>
    <t>- учебный корпус в с. Туръя</t>
  </si>
  <si>
    <t>1. Родительский взнос не взимается</t>
  </si>
  <si>
    <t>2. Сумма оплаты страховки на период действия лагеря с дневным пребыванием не входит в родительский взнос. Оплата страхового взноса осуществляется родителями.</t>
  </si>
  <si>
    <t>родительский взнос за смену (300 рублей) без учета детей ТЖС</t>
  </si>
  <si>
    <t>Приложение №5</t>
  </si>
  <si>
    <t>Численность сопровождающих в смену</t>
  </si>
  <si>
    <t>Организация работы оздоровительного лагеря с дневным пребыванием детей "Школа молодого актива".</t>
  </si>
  <si>
    <t xml:space="preserve">91,0 р/д * 5 раб. дней        </t>
  </si>
  <si>
    <t>План организации работы профильного летнего лагеря с дневным прибыванием детей "Твое призвание"</t>
  </si>
  <si>
    <t>1</t>
  </si>
  <si>
    <t>другие категории</t>
  </si>
  <si>
    <t>Сроки заезда</t>
  </si>
  <si>
    <t>21</t>
  </si>
  <si>
    <t>12</t>
  </si>
  <si>
    <t>Итого другие категории детей</t>
  </si>
  <si>
    <t>ТЖС</t>
  </si>
  <si>
    <t>ИТОГО категория ТЖС</t>
  </si>
  <si>
    <t>Всего</t>
  </si>
  <si>
    <t>7</t>
  </si>
  <si>
    <t>2</t>
  </si>
  <si>
    <t>3</t>
  </si>
  <si>
    <t>4</t>
  </si>
  <si>
    <t>5</t>
  </si>
  <si>
    <t>8</t>
  </si>
  <si>
    <t>6</t>
  </si>
  <si>
    <t>Организация работы профильного патриотического лагеря с дневным пребыванием детей "Слет кадетов"</t>
  </si>
  <si>
    <t>МБОУ "СОШ №1" г. Емвы</t>
  </si>
  <si>
    <r>
      <t xml:space="preserve">3. Родители могут вносить добровольные пожертвования </t>
    </r>
    <r>
      <rPr>
        <b/>
        <sz val="10"/>
        <rFont val="Times New Roman"/>
        <family val="1"/>
        <charset val="204"/>
      </rPr>
      <t>на укрепление МТБ оздоровительного лагеря с дневным пребыванием детей.</t>
    </r>
  </si>
  <si>
    <t>2 смена (июнь-июль)</t>
  </si>
  <si>
    <t>3 смена (июль-август)</t>
  </si>
  <si>
    <t>4 смена (август)</t>
  </si>
  <si>
    <t>- учебный корпус с. Туръя</t>
  </si>
  <si>
    <t>1. Первая смена будет работать с 1 по 21 июня. Торжественное открытие оздоровительных лагерей с дневным пребыванием детей состоится 1 июня 2017 года в 10.00 ч.</t>
  </si>
  <si>
    <t>2. Закрытие смены 21 июня в 14.00 ч. Выходные дни - 3,4,10,11,12,17,18 июня 2017 года.</t>
  </si>
  <si>
    <t>5. Третья смена будет работать с 17 июля по 6 августа. Открытие смены состоится 17 июля в 10.00 ч.</t>
  </si>
  <si>
    <t>7. Четвертая смена будет работать с 9 по 29 августа. Открытие смены состоится 9 августа в 10.00 ч.</t>
  </si>
  <si>
    <t>6. Закрытие 3 смены 6 августа в 14.00 ч. Выходные дни - 22,23,29,30 июля 2017 года.</t>
  </si>
  <si>
    <t>МАУДО "ДДТ" Княжпогостского района (питание 1-ой и 2-ой смены организовано на базе МБОУ "СОШ №2" г. Емвы, питание 3-ей и 4-ой смены организовано на базе МБОУ "СОШ №1" г. Емвы)</t>
  </si>
  <si>
    <t>2 смена (июнь-июль),         91 р/д * 15 раб. дней</t>
  </si>
  <si>
    <t>3 смена (июль-август),            91 р/д * 15 раб. дней</t>
  </si>
  <si>
    <t>4 смена (август), 91 р/д * 14 раб. дней</t>
  </si>
  <si>
    <t>8. Закратие четвертой смены 29 августа в 14.00 ч. Выходные дни - 12,13,19,20,22,26,27 августа 2017 года.</t>
  </si>
  <si>
    <t>2 смена                            (июнь-июль)</t>
  </si>
  <si>
    <t>Примечание 3:</t>
  </si>
  <si>
    <t>1. Питание организовано на базе МБОУ "СОШ №2" г. Емвы</t>
  </si>
  <si>
    <t>МАУДО "ДДТ" Княжпогостского района (питание организовано на базе МБОУ "СОШ №2" г. Емвы)</t>
  </si>
  <si>
    <t>МАУДО "ДДТ" Княжпогостского района (питание организовано на базе МБОУ "СОШ №1" г. Емвы)</t>
  </si>
  <si>
    <t>1. Питание организовано на базе МБОУ "СОШ №1" г. Емвы</t>
  </si>
  <si>
    <t>Организация работы профильной патриотической смены с дневным пребыванием детей "Мы-патриоты!"</t>
  </si>
  <si>
    <t>1. Профильная смена "Мы-патриоты!" с дневным пребыванием детей при МАУДО "ДДТ" Княжпогостского района работает 5 рабочих дней.</t>
  </si>
  <si>
    <t>весенние каникулы</t>
  </si>
  <si>
    <t>весенние каникулы,            91 р/д * 5 раб. дней</t>
  </si>
  <si>
    <t>МАУДО "ДДТ" Княжпогостского района (питание в период весенних каникул организовано на базе МБОУ "СОШ №2" г. Емвы, в период осенних каникул питание организовано на базе МБОУ "СОШ №1" г. Емвы)</t>
  </si>
  <si>
    <t>1. Образовательные организации организуют работу лагерей с дневным пребыванием детей согласно плану организации учебного процесса.</t>
  </si>
  <si>
    <t>2. Родительский взнос не взимается.</t>
  </si>
  <si>
    <t>3. Сумма оплаты страховки на период действия лагеря с дневным пребыванием не входит в родительский взнос. Оплата страхового взноса осуществляется родителями.</t>
  </si>
  <si>
    <t>Охват всего</t>
  </si>
  <si>
    <t>Республика</t>
  </si>
  <si>
    <t>Местный</t>
  </si>
  <si>
    <t>2 смена                            (июнь-июль),             91 р/д * 16 дней</t>
  </si>
  <si>
    <t>1. Профильный лагерь "Твое призвание" с дневным пребыванием детей в период летних каникул при МАУДО "ДДТ" Княжпогостского района работает 15 рабочих дней.</t>
  </si>
  <si>
    <t>2.  Профильный лагерь "Твое призвание" будет работать с 26 июня по 16 июля. Торжественное открытие лагеря состоится 26 июня 2017 года в 10.00 ч.</t>
  </si>
  <si>
    <t>3. Закрытие смены состоится 14 июля 2017 года в 14.00 ч. Выходные дни 24,25 июня и 1,2,8,9 июля 2017 года</t>
  </si>
  <si>
    <t xml:space="preserve">1 смена (июль),         91,0 р/д * 15 дней        </t>
  </si>
  <si>
    <t>1. Профильный лагерь "Школа молодого актива" с дневным пребыванием детей в период летних каникул при МАУДО "ДДТ" Княжпогостского района работает 15 рабочих дней.</t>
  </si>
  <si>
    <t xml:space="preserve">91,0 р/д * 15 дней        </t>
  </si>
  <si>
    <t>1. Профильный лагерь "Слет кадетов" с дневным пребыванием детей в период летних каникул при МБОУ "СОШ №1" г. Емвы работает 15 рабочих дней.</t>
  </si>
  <si>
    <t>2.  Профильный лагерь "Слет кадетов" будет работать с 25 июля по 14 августа. Торжественное открытие лагеря состоится 25 июля 2017 года в 10.00 ч.</t>
  </si>
  <si>
    <t>3. Закрытие смены состоится 14 августа 2017 года в 14.00 ч. Выходные дни 29,30 июля и 5,6,12,13 августа 2017 года</t>
  </si>
  <si>
    <t>Детский оздоровительный лагерь на базе санатория "Черноморская зорька", г. Анапа</t>
  </si>
  <si>
    <t>03.06.2017-23.06.2017</t>
  </si>
  <si>
    <t>Школьная экскурсия по Золотому кольцу России, г. Ярославль</t>
  </si>
  <si>
    <t>03.05.2017-10.05.2017</t>
  </si>
  <si>
    <t>Детский оздоровительный комплекс "Спутник", Ростовская область, с. Натальевка</t>
  </si>
  <si>
    <t>17.06.2017-07.07.2017</t>
  </si>
  <si>
    <t>Санаторий "Колос", Кировская область, п. Колос</t>
  </si>
  <si>
    <t>27.06.2017-17.07.2017</t>
  </si>
  <si>
    <t>Детский оздоровительный лагерь "Мечта", Республика Коми, Сыктывдинский район</t>
  </si>
  <si>
    <t>15.07.2017-04.08.2017</t>
  </si>
  <si>
    <t>Детский оздоровительный лагерь на базе санатория "Бобровниково", Вологодская область, д. Бобровниково</t>
  </si>
  <si>
    <t>16.07.2017-05.08.2017</t>
  </si>
  <si>
    <t>Детский оздоровительно-образовательный центр "Гренада", Республика Коми, Сыктывдинский район, д. Парчег</t>
  </si>
  <si>
    <t>10.08.2017-30.08.2017</t>
  </si>
  <si>
    <t>18.07.2017-07.08.2017</t>
  </si>
  <si>
    <t>опека</t>
  </si>
  <si>
    <t>04.06.2017-24.06.2017</t>
  </si>
  <si>
    <t>Итого по опеке</t>
  </si>
  <si>
    <t>27.07.2017-16.08.2017</t>
  </si>
  <si>
    <t>- учебный корпус МАОДО "ДШИ" Княжпогостского района (реализация образовательной программы)</t>
  </si>
  <si>
    <t>- учебный корпус МАУДО "ДЮСШ" Княжпогостского района (реализация образовательной программы)</t>
  </si>
  <si>
    <t>- учебный корпус МБОУ "СОШ №1" г. Емвы</t>
  </si>
  <si>
    <t>10</t>
  </si>
  <si>
    <t>3.1</t>
  </si>
  <si>
    <t>одаренные</t>
  </si>
  <si>
    <t>0</t>
  </si>
  <si>
    <t>07.07.2017-27.07.2017</t>
  </si>
  <si>
    <t>7.1</t>
  </si>
  <si>
    <t>3. Вторая смена будет работать с 26 июня по 16 июля. Открытие смены состоится 26 июня в 10.00 ч.</t>
  </si>
  <si>
    <t>4. Закрытие 2 смены 14 июля в 14.00 ч. Выходные дни - 1,2,8,9,15 и 16 июля 2017 года.</t>
  </si>
  <si>
    <t>11</t>
  </si>
  <si>
    <t>9</t>
  </si>
  <si>
    <t>25.09.2017-01.10.2017</t>
  </si>
  <si>
    <t>Детский оздоровительно-образовательный центр "Гренада, смена "Радлун", Республика Коми, Сыктывдинский район, д. Парчег</t>
  </si>
  <si>
    <t>Детский оздоровительно-образовательный центр "Гренада, смена "Российское движение школьников", Республика Коми, Сыктывдинский район, д. Парчег</t>
  </si>
  <si>
    <t>21.10.2017-28.10.2017</t>
  </si>
  <si>
    <t>Детский оздоровительно-образовательный центр "Гренада, смена "ЮНАРМИЯ", Республика Коми, Сыктывдинский район, д. Парчег</t>
  </si>
  <si>
    <t>07.11.2017-14.11.2017</t>
  </si>
  <si>
    <t>Детский оздоровительно-образовательный центр "Гренада, смена "Слет трудовых бригад", Республика Коми, Сыктывдинский район, д. Парчег</t>
  </si>
  <si>
    <t>от 01 января 2018 года № 1</t>
  </si>
  <si>
    <t>от 09 января 2018 года № 1</t>
  </si>
  <si>
    <t>Приложение №4</t>
  </si>
  <si>
    <t>2.  Профильный лагерь "Школа молодого актива" будет работать с 26 июня по 16 июля. Торжественное открытие лагеря состоится 26 июня 2017 года в 10.00 ч.</t>
  </si>
  <si>
    <t>3. Закрытие смены состоится 14 июля 2017 года в 14.00 ч. Выходные дни 1,2,8,9,15,16 июля 2017 года</t>
  </si>
  <si>
    <t>Приложение №6</t>
  </si>
  <si>
    <t>2.  Профильная смена "Ма-патриоты!" будет работать со 1 ноября по 7 ноября 2017 года. Торжественное открытие лагеря состоится 1 ноября 2017 года в 10.00 ч.</t>
  </si>
  <si>
    <t>3. Закрытие смены состоится 7 ноября 2017 года в 14.00 ч. Выходные дни 4,5 ноября 2017 года</t>
  </si>
  <si>
    <t>Приложение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</si>
</sst>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/>
    </xf>
    <xf numFmtId="0" fontId="2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0" xfId="0" applyFont="1"/>
    <xf numFmtId="4" fontId="2" fillId="0" borderId="0" xfId="0" applyNumberFormat="1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0" xfId="0" applyNumberFormat="1" applyFont="1"/>
    <xf numFmtId="0" fontId="8" fillId="0" borderId="0" xfId="0" applyFont="1" applyAlignment="1">
      <alignment horizontal="right"/>
    </xf>
    <xf numFmtId="0" fontId="2" fillId="0" borderId="0" xfId="0" applyFont="1" applyFill="1"/>
    <xf numFmtId="43" fontId="2" fillId="0" borderId="0" xfId="1" applyFont="1" applyFill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 wrapText="1"/>
    </xf>
    <xf numFmtId="43" fontId="2" fillId="0" borderId="11" xfId="1" applyFont="1" applyFill="1" applyBorder="1" applyAlignment="1">
      <alignment horizontal="center" vertical="center" wrapText="1"/>
    </xf>
    <xf numFmtId="43" fontId="2" fillId="0" borderId="10" xfId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4" fontId="2" fillId="0" borderId="0" xfId="0" applyNumberFormat="1" applyFont="1" applyFill="1"/>
    <xf numFmtId="41" fontId="2" fillId="0" borderId="1" xfId="1" applyNumberFormat="1" applyFont="1" applyFill="1" applyBorder="1" applyAlignment="1">
      <alignment horizontal="center" vertical="center" wrapText="1"/>
    </xf>
    <xf numFmtId="43" fontId="2" fillId="0" borderId="0" xfId="0" applyNumberFormat="1" applyFont="1" applyFill="1"/>
    <xf numFmtId="49" fontId="1" fillId="0" borderId="0" xfId="0" applyNumberFormat="1" applyFont="1"/>
    <xf numFmtId="0" fontId="1" fillId="0" borderId="5" xfId="0" applyFont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left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165" fontId="2" fillId="0" borderId="10" xfId="1" applyNumberFormat="1" applyFont="1" applyFill="1" applyBorder="1" applyAlignment="1">
      <alignment horizontal="center" vertical="center" textRotation="90" wrapText="1"/>
    </xf>
    <xf numFmtId="165" fontId="2" fillId="0" borderId="1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left"/>
    </xf>
    <xf numFmtId="4" fontId="2" fillId="0" borderId="0" xfId="0" applyNumberFormat="1" applyFont="1" applyAlignment="1">
      <alignment horizontal="left" wrapText="1"/>
    </xf>
    <xf numFmtId="0" fontId="2" fillId="0" borderId="0" xfId="0" applyFont="1" applyAlignment="1"/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left"/>
    </xf>
    <xf numFmtId="0" fontId="1" fillId="0" borderId="0" xfId="0" applyFont="1" applyAlignment="1">
      <alignment wrapText="1"/>
    </xf>
    <xf numFmtId="4" fontId="7" fillId="0" borderId="0" xfId="0" applyNumberFormat="1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4" fontId="9" fillId="0" borderId="0" xfId="0" applyNumberFormat="1" applyFont="1" applyAlignment="1">
      <alignment horizontal="left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textRotation="90" wrapText="1"/>
    </xf>
    <xf numFmtId="0" fontId="8" fillId="0" borderId="0" xfId="0" applyFont="1" applyFill="1"/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165" fontId="6" fillId="0" borderId="10" xfId="1" applyNumberFormat="1" applyFont="1" applyFill="1" applyBorder="1" applyAlignment="1">
      <alignment horizontal="center" vertical="center" textRotation="90" wrapText="1"/>
    </xf>
    <xf numFmtId="4" fontId="6" fillId="0" borderId="0" xfId="0" applyNumberFormat="1" applyFont="1" applyFill="1"/>
    <xf numFmtId="0" fontId="6" fillId="0" borderId="0" xfId="0" applyFont="1" applyFill="1"/>
    <xf numFmtId="0" fontId="1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wrapText="1"/>
    </xf>
    <xf numFmtId="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4" borderId="1" xfId="1" applyNumberFormat="1" applyFont="1" applyFill="1" applyBorder="1" applyAlignment="1">
      <alignment horizontal="center" vertical="center" wrapText="1"/>
    </xf>
    <xf numFmtId="4" fontId="6" fillId="4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3" fontId="6" fillId="0" borderId="0" xfId="1" applyFont="1" applyFill="1" applyAlignment="1">
      <alignment horizontal="center" vertical="center" wrapText="1"/>
    </xf>
    <xf numFmtId="43" fontId="2" fillId="0" borderId="0" xfId="1" applyFont="1" applyFill="1" applyAlignment="1">
      <alignment horizontal="right" vertical="center" wrapText="1"/>
    </xf>
    <xf numFmtId="43" fontId="2" fillId="0" borderId="10" xfId="1" applyFont="1" applyFill="1" applyBorder="1" applyAlignment="1">
      <alignment horizontal="center" vertical="center" textRotation="90" wrapText="1"/>
    </xf>
    <xf numFmtId="49" fontId="2" fillId="0" borderId="5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S57"/>
  <sheetViews>
    <sheetView topLeftCell="C1" zoomScaleNormal="100" workbookViewId="0">
      <selection activeCell="P50" sqref="P50"/>
    </sheetView>
  </sheetViews>
  <sheetFormatPr defaultColWidth="8.85546875" defaultRowHeight="12.75" x14ac:dyDescent="0.2"/>
  <cols>
    <col min="1" max="1" width="5.140625" style="29" customWidth="1"/>
    <col min="2" max="2" width="40.28515625" style="29" customWidth="1"/>
    <col min="3" max="3" width="8.85546875" style="29" customWidth="1"/>
    <col min="4" max="6" width="8.85546875" style="29"/>
    <col min="7" max="14" width="11.42578125" style="29" customWidth="1"/>
    <col min="15" max="15" width="10" style="29" customWidth="1"/>
    <col min="16" max="18" width="8.85546875" style="29"/>
    <col min="19" max="19" width="12" style="29" customWidth="1"/>
    <col min="20" max="16384" width="8.85546875" style="29"/>
  </cols>
  <sheetData>
    <row r="1" spans="1:19" x14ac:dyDescent="0.2">
      <c r="O1" s="139" t="s">
        <v>24</v>
      </c>
      <c r="P1" s="139"/>
      <c r="Q1" s="139"/>
      <c r="R1" s="139"/>
      <c r="S1" s="139"/>
    </row>
    <row r="2" spans="1:19" x14ac:dyDescent="0.2">
      <c r="O2" s="139" t="s">
        <v>25</v>
      </c>
      <c r="P2" s="139"/>
      <c r="Q2" s="139"/>
      <c r="R2" s="139"/>
      <c r="S2" s="139"/>
    </row>
    <row r="3" spans="1:19" x14ac:dyDescent="0.2">
      <c r="O3" s="139" t="s">
        <v>26</v>
      </c>
      <c r="P3" s="139"/>
      <c r="Q3" s="139"/>
      <c r="R3" s="139"/>
      <c r="S3" s="139"/>
    </row>
    <row r="4" spans="1:19" x14ac:dyDescent="0.2">
      <c r="O4" s="140" t="s">
        <v>169</v>
      </c>
      <c r="P4" s="140"/>
      <c r="Q4" s="140"/>
      <c r="R4" s="140"/>
      <c r="S4" s="140"/>
    </row>
    <row r="5" spans="1:19" x14ac:dyDescent="0.2">
      <c r="O5" s="88"/>
      <c r="P5" s="88"/>
      <c r="Q5" s="88"/>
      <c r="R5" s="88"/>
      <c r="S5" s="88"/>
    </row>
    <row r="6" spans="1:19" x14ac:dyDescent="0.2">
      <c r="A6" s="141" t="s">
        <v>21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</row>
    <row r="8" spans="1:19" s="34" customFormat="1" ht="14.45" customHeight="1" x14ac:dyDescent="0.25">
      <c r="A8" s="134" t="s">
        <v>5</v>
      </c>
      <c r="B8" s="137" t="s">
        <v>0</v>
      </c>
      <c r="C8" s="142" t="s">
        <v>1</v>
      </c>
      <c r="D8" s="143"/>
      <c r="E8" s="143"/>
      <c r="F8" s="144"/>
      <c r="G8" s="148" t="s">
        <v>3</v>
      </c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50"/>
      <c r="S8" s="137" t="s">
        <v>4</v>
      </c>
    </row>
    <row r="9" spans="1:19" s="34" customFormat="1" x14ac:dyDescent="0.25">
      <c r="A9" s="135"/>
      <c r="B9" s="137"/>
      <c r="C9" s="145"/>
      <c r="D9" s="146"/>
      <c r="E9" s="146"/>
      <c r="F9" s="147"/>
      <c r="G9" s="148" t="s">
        <v>7</v>
      </c>
      <c r="H9" s="149"/>
      <c r="I9" s="149"/>
      <c r="J9" s="150"/>
      <c r="K9" s="148" t="s">
        <v>6</v>
      </c>
      <c r="L9" s="149"/>
      <c r="M9" s="149"/>
      <c r="N9" s="150"/>
      <c r="O9" s="148" t="s">
        <v>60</v>
      </c>
      <c r="P9" s="149"/>
      <c r="Q9" s="149"/>
      <c r="R9" s="150"/>
      <c r="S9" s="137"/>
    </row>
    <row r="10" spans="1:19" s="34" customFormat="1" ht="63.75" x14ac:dyDescent="0.25">
      <c r="A10" s="136"/>
      <c r="B10" s="137"/>
      <c r="C10" s="99" t="s">
        <v>2</v>
      </c>
      <c r="D10" s="99" t="s">
        <v>89</v>
      </c>
      <c r="E10" s="99" t="s">
        <v>90</v>
      </c>
      <c r="F10" s="99" t="s">
        <v>91</v>
      </c>
      <c r="G10" s="99" t="s">
        <v>36</v>
      </c>
      <c r="H10" s="99" t="s">
        <v>99</v>
      </c>
      <c r="I10" s="99" t="s">
        <v>100</v>
      </c>
      <c r="J10" s="99" t="s">
        <v>101</v>
      </c>
      <c r="K10" s="99" t="s">
        <v>36</v>
      </c>
      <c r="L10" s="99" t="s">
        <v>99</v>
      </c>
      <c r="M10" s="99" t="s">
        <v>100</v>
      </c>
      <c r="N10" s="99" t="s">
        <v>101</v>
      </c>
      <c r="O10" s="99" t="s">
        <v>2</v>
      </c>
      <c r="P10" s="99" t="s">
        <v>89</v>
      </c>
      <c r="Q10" s="99" t="s">
        <v>90</v>
      </c>
      <c r="R10" s="99" t="s">
        <v>91</v>
      </c>
      <c r="S10" s="137"/>
    </row>
    <row r="11" spans="1:19" x14ac:dyDescent="0.2">
      <c r="A11" s="35">
        <v>1</v>
      </c>
      <c r="B11" s="36" t="s">
        <v>22</v>
      </c>
      <c r="C11" s="99">
        <v>50</v>
      </c>
      <c r="D11" s="99">
        <v>50</v>
      </c>
      <c r="E11" s="99">
        <v>40</v>
      </c>
      <c r="F11" s="99">
        <v>40</v>
      </c>
      <c r="G11" s="30">
        <f>C11*91*14</f>
        <v>63700</v>
      </c>
      <c r="H11" s="30">
        <f>D11*91*15</f>
        <v>68250</v>
      </c>
      <c r="I11" s="30">
        <f>E11*91*15</f>
        <v>54600</v>
      </c>
      <c r="J11" s="30">
        <f>F11*91*14</f>
        <v>50960</v>
      </c>
      <c r="K11" s="30"/>
      <c r="L11" s="30"/>
      <c r="M11" s="30"/>
      <c r="N11" s="30"/>
      <c r="O11" s="30">
        <f>C11*300</f>
        <v>15000</v>
      </c>
      <c r="P11" s="30">
        <f t="shared" ref="P11:R11" si="0">D11*300</f>
        <v>15000</v>
      </c>
      <c r="Q11" s="30">
        <f t="shared" si="0"/>
        <v>12000</v>
      </c>
      <c r="R11" s="30">
        <f t="shared" si="0"/>
        <v>12000</v>
      </c>
      <c r="S11" s="30">
        <f>G11+H11+I11+K11+L11+M11+O11+P11+Q11+J11+N11+R11</f>
        <v>291510</v>
      </c>
    </row>
    <row r="12" spans="1:19" x14ac:dyDescent="0.2">
      <c r="A12" s="35">
        <v>2</v>
      </c>
      <c r="B12" s="37" t="s">
        <v>8</v>
      </c>
      <c r="C12" s="38">
        <f>C13+C14+C15+C16</f>
        <v>125</v>
      </c>
      <c r="D12" s="38">
        <f t="shared" ref="D12:F12" si="1">D13+D14+D15+D16</f>
        <v>75</v>
      </c>
      <c r="E12" s="38">
        <f t="shared" si="1"/>
        <v>30</v>
      </c>
      <c r="F12" s="38">
        <f t="shared" si="1"/>
        <v>30</v>
      </c>
      <c r="G12" s="31">
        <f>G13+G14+G15+G16</f>
        <v>82810</v>
      </c>
      <c r="H12" s="31">
        <f t="shared" ref="H12:S12" si="2">H13+H14+H15+H16</f>
        <v>68250</v>
      </c>
      <c r="I12" s="31">
        <f t="shared" si="2"/>
        <v>40950</v>
      </c>
      <c r="J12" s="31">
        <f t="shared" si="2"/>
        <v>38220</v>
      </c>
      <c r="K12" s="31">
        <f t="shared" si="2"/>
        <v>76440</v>
      </c>
      <c r="L12" s="31">
        <f t="shared" si="2"/>
        <v>34125</v>
      </c>
      <c r="M12" s="31">
        <f t="shared" si="2"/>
        <v>0</v>
      </c>
      <c r="N12" s="31">
        <f t="shared" si="2"/>
        <v>0</v>
      </c>
      <c r="O12" s="31">
        <f t="shared" si="2"/>
        <v>37500</v>
      </c>
      <c r="P12" s="31">
        <f t="shared" si="2"/>
        <v>22500</v>
      </c>
      <c r="Q12" s="31">
        <f t="shared" si="2"/>
        <v>9000</v>
      </c>
      <c r="R12" s="31">
        <f t="shared" si="2"/>
        <v>9000</v>
      </c>
      <c r="S12" s="31">
        <f t="shared" si="2"/>
        <v>0</v>
      </c>
    </row>
    <row r="13" spans="1:19" s="42" customFormat="1" ht="12" x14ac:dyDescent="0.2">
      <c r="A13" s="39"/>
      <c r="B13" s="40" t="s">
        <v>9</v>
      </c>
      <c r="C13" s="41">
        <v>50</v>
      </c>
      <c r="D13" s="41">
        <v>50</v>
      </c>
      <c r="E13" s="41">
        <v>30</v>
      </c>
      <c r="F13" s="41">
        <v>30</v>
      </c>
      <c r="G13" s="91">
        <f>C13*91*14</f>
        <v>63700</v>
      </c>
      <c r="H13" s="91">
        <f>D13*91*15</f>
        <v>68250</v>
      </c>
      <c r="I13" s="91">
        <f>E13*91*15</f>
        <v>40950</v>
      </c>
      <c r="J13" s="91">
        <f>F13*91*14</f>
        <v>38220</v>
      </c>
      <c r="K13" s="91"/>
      <c r="L13" s="91"/>
      <c r="M13" s="91"/>
      <c r="N13" s="91"/>
      <c r="O13" s="91">
        <f>C13*300</f>
        <v>15000</v>
      </c>
      <c r="P13" s="91">
        <f t="shared" ref="P13" si="3">D13*300</f>
        <v>15000</v>
      </c>
      <c r="Q13" s="91">
        <f t="shared" ref="Q13" si="4">E13*300</f>
        <v>9000</v>
      </c>
      <c r="R13" s="91">
        <f t="shared" ref="R13" si="5">F13*300</f>
        <v>9000</v>
      </c>
      <c r="S13" s="32"/>
    </row>
    <row r="14" spans="1:19" s="42" customFormat="1" ht="12" x14ac:dyDescent="0.2">
      <c r="A14" s="39"/>
      <c r="B14" s="40" t="s">
        <v>10</v>
      </c>
      <c r="C14" s="41">
        <v>15</v>
      </c>
      <c r="D14" s="39"/>
      <c r="E14" s="39"/>
      <c r="F14" s="39"/>
      <c r="G14" s="91">
        <f>C14*91*14</f>
        <v>19110</v>
      </c>
      <c r="H14" s="32"/>
      <c r="I14" s="32"/>
      <c r="J14" s="32"/>
      <c r="K14" s="91"/>
      <c r="L14" s="32"/>
      <c r="M14" s="32"/>
      <c r="N14" s="32"/>
      <c r="O14" s="91">
        <f>C14*300</f>
        <v>4500</v>
      </c>
      <c r="P14" s="91"/>
      <c r="Q14" s="91"/>
      <c r="R14" s="91"/>
      <c r="S14" s="32"/>
    </row>
    <row r="15" spans="1:19" s="42" customFormat="1" ht="36" x14ac:dyDescent="0.2">
      <c r="A15" s="39"/>
      <c r="B15" s="112" t="s">
        <v>149</v>
      </c>
      <c r="C15" s="39">
        <v>30</v>
      </c>
      <c r="D15" s="39"/>
      <c r="E15" s="39"/>
      <c r="F15" s="39"/>
      <c r="G15" s="91"/>
      <c r="H15" s="32"/>
      <c r="I15" s="32"/>
      <c r="J15" s="32"/>
      <c r="K15" s="91">
        <f>C15*91*14</f>
        <v>38220</v>
      </c>
      <c r="L15" s="32"/>
      <c r="M15" s="32"/>
      <c r="N15" s="32"/>
      <c r="O15" s="91">
        <f t="shared" ref="O15:O16" si="6">C15*300</f>
        <v>9000</v>
      </c>
      <c r="P15" s="91"/>
      <c r="Q15" s="91"/>
      <c r="R15" s="91"/>
      <c r="S15" s="30"/>
    </row>
    <row r="16" spans="1:19" s="42" customFormat="1" ht="36" x14ac:dyDescent="0.2">
      <c r="A16" s="39"/>
      <c r="B16" s="112" t="s">
        <v>150</v>
      </c>
      <c r="C16" s="39">
        <v>30</v>
      </c>
      <c r="D16" s="39">
        <v>25</v>
      </c>
      <c r="E16" s="39"/>
      <c r="F16" s="39"/>
      <c r="G16" s="91"/>
      <c r="H16" s="32"/>
      <c r="I16" s="32"/>
      <c r="J16" s="32"/>
      <c r="K16" s="91">
        <f>C16*91*14</f>
        <v>38220</v>
      </c>
      <c r="L16" s="91">
        <f>D16*91*15</f>
        <v>34125</v>
      </c>
      <c r="M16" s="113"/>
      <c r="N16" s="113"/>
      <c r="O16" s="91">
        <f t="shared" si="6"/>
        <v>9000</v>
      </c>
      <c r="P16" s="91">
        <f t="shared" ref="P16" si="7">D16*300</f>
        <v>7500</v>
      </c>
      <c r="Q16" s="91"/>
      <c r="R16" s="91"/>
      <c r="S16" s="30"/>
    </row>
    <row r="17" spans="1:19" x14ac:dyDescent="0.2">
      <c r="A17" s="35">
        <v>3</v>
      </c>
      <c r="B17" s="37" t="s">
        <v>11</v>
      </c>
      <c r="C17" s="38">
        <v>30</v>
      </c>
      <c r="D17" s="38">
        <v>20</v>
      </c>
      <c r="E17" s="38"/>
      <c r="F17" s="38"/>
      <c r="G17" s="31"/>
      <c r="H17" s="31"/>
      <c r="I17" s="31"/>
      <c r="J17" s="31"/>
      <c r="K17" s="30">
        <f>C17*91*14</f>
        <v>38220</v>
      </c>
      <c r="L17" s="30">
        <f>D17*91*15</f>
        <v>27300</v>
      </c>
      <c r="M17" s="31"/>
      <c r="N17" s="31"/>
      <c r="O17" s="30">
        <f>C17*300</f>
        <v>9000</v>
      </c>
      <c r="P17" s="30">
        <f t="shared" ref="P17" si="8">D17*300</f>
        <v>6000</v>
      </c>
      <c r="Q17" s="30"/>
      <c r="R17" s="30"/>
      <c r="S17" s="30">
        <f>G17+H17+I17+K17+L17+M17+O17+P17+Q17+J17+N17+R17</f>
        <v>80520</v>
      </c>
    </row>
    <row r="18" spans="1:19" x14ac:dyDescent="0.2">
      <c r="A18" s="35">
        <v>4</v>
      </c>
      <c r="B18" s="37" t="s">
        <v>12</v>
      </c>
      <c r="C18" s="38">
        <f>C19+C20</f>
        <v>67</v>
      </c>
      <c r="D18" s="38">
        <f t="shared" ref="D18:F18" si="9">D19+D20</f>
        <v>30</v>
      </c>
      <c r="E18" s="38">
        <f t="shared" si="9"/>
        <v>0</v>
      </c>
      <c r="F18" s="38">
        <f t="shared" si="9"/>
        <v>0</v>
      </c>
      <c r="G18" s="31"/>
      <c r="H18" s="31"/>
      <c r="I18" s="31"/>
      <c r="J18" s="31"/>
      <c r="K18" s="30">
        <f>K19+K20</f>
        <v>85358</v>
      </c>
      <c r="L18" s="30">
        <f>L19+L20</f>
        <v>40950</v>
      </c>
      <c r="M18" s="31"/>
      <c r="N18" s="31"/>
      <c r="O18" s="31">
        <f>O19+O20</f>
        <v>20100</v>
      </c>
      <c r="P18" s="31">
        <f t="shared" ref="P18" si="10">P19+P20</f>
        <v>9000</v>
      </c>
      <c r="Q18" s="31">
        <f t="shared" ref="Q18" si="11">Q19+Q20</f>
        <v>0</v>
      </c>
      <c r="R18" s="31">
        <f>R19+R20</f>
        <v>0</v>
      </c>
      <c r="S18" s="30">
        <f>G18+H18+I18+K18+L18+M18+O18+P18+Q18+J18+N18+R18</f>
        <v>155408</v>
      </c>
    </row>
    <row r="19" spans="1:19" s="42" customFormat="1" ht="12" x14ac:dyDescent="0.2">
      <c r="A19" s="39"/>
      <c r="B19" s="40" t="s">
        <v>13</v>
      </c>
      <c r="C19" s="41">
        <v>62</v>
      </c>
      <c r="D19" s="41">
        <v>30</v>
      </c>
      <c r="E19" s="41"/>
      <c r="F19" s="41"/>
      <c r="G19" s="32"/>
      <c r="H19" s="32"/>
      <c r="I19" s="32"/>
      <c r="J19" s="32"/>
      <c r="K19" s="91">
        <f t="shared" ref="K19:K27" si="12">C19*91*14</f>
        <v>78988</v>
      </c>
      <c r="L19" s="91">
        <f t="shared" ref="L19" si="13">D19*91*15</f>
        <v>40950</v>
      </c>
      <c r="M19" s="32"/>
      <c r="N19" s="32"/>
      <c r="O19" s="91">
        <f t="shared" ref="O19:O20" si="14">C19*300</f>
        <v>18600</v>
      </c>
      <c r="P19" s="91">
        <f t="shared" ref="P19" si="15">D19*300</f>
        <v>9000</v>
      </c>
      <c r="Q19" s="91"/>
      <c r="R19" s="91"/>
      <c r="S19" s="32"/>
    </row>
    <row r="20" spans="1:19" s="42" customFormat="1" ht="12" x14ac:dyDescent="0.2">
      <c r="A20" s="39"/>
      <c r="B20" s="40" t="s">
        <v>14</v>
      </c>
      <c r="C20" s="41">
        <v>5</v>
      </c>
      <c r="D20" s="41"/>
      <c r="E20" s="41"/>
      <c r="F20" s="41"/>
      <c r="G20" s="32"/>
      <c r="H20" s="32"/>
      <c r="I20" s="32"/>
      <c r="J20" s="32"/>
      <c r="K20" s="91">
        <f t="shared" si="12"/>
        <v>6370</v>
      </c>
      <c r="L20" s="91"/>
      <c r="M20" s="32"/>
      <c r="N20" s="32"/>
      <c r="O20" s="91">
        <f t="shared" si="14"/>
        <v>1500</v>
      </c>
      <c r="P20" s="91"/>
      <c r="Q20" s="91"/>
      <c r="R20" s="91"/>
      <c r="S20" s="32"/>
    </row>
    <row r="21" spans="1:19" x14ac:dyDescent="0.2">
      <c r="A21" s="35">
        <v>5</v>
      </c>
      <c r="B21" s="37" t="s">
        <v>15</v>
      </c>
      <c r="C21" s="38">
        <f>C22+C23</f>
        <v>27</v>
      </c>
      <c r="D21" s="38">
        <f t="shared" ref="D21:F21" si="16">D22+D23</f>
        <v>0</v>
      </c>
      <c r="E21" s="38">
        <f t="shared" si="16"/>
        <v>0</v>
      </c>
      <c r="F21" s="38">
        <f t="shared" si="16"/>
        <v>0</v>
      </c>
      <c r="G21" s="31"/>
      <c r="H21" s="31"/>
      <c r="I21" s="31"/>
      <c r="J21" s="31"/>
      <c r="K21" s="30">
        <f>K22+K23</f>
        <v>34398</v>
      </c>
      <c r="L21" s="31"/>
      <c r="M21" s="31"/>
      <c r="N21" s="31"/>
      <c r="O21" s="31">
        <f>O22+O23</f>
        <v>8100</v>
      </c>
      <c r="P21" s="31">
        <f t="shared" ref="P21" si="17">P22+P23</f>
        <v>0</v>
      </c>
      <c r="Q21" s="31">
        <f t="shared" ref="Q21" si="18">Q22+Q23</f>
        <v>0</v>
      </c>
      <c r="R21" s="31">
        <f>R22+R23</f>
        <v>0</v>
      </c>
      <c r="S21" s="30">
        <f>G21+H21+I21+K21+L21+M21+O21+P21+Q21+J21+N21+R21</f>
        <v>42498</v>
      </c>
    </row>
    <row r="22" spans="1:19" s="42" customFormat="1" ht="12" x14ac:dyDescent="0.2">
      <c r="A22" s="39"/>
      <c r="B22" s="40" t="s">
        <v>16</v>
      </c>
      <c r="C22" s="41">
        <v>20</v>
      </c>
      <c r="D22" s="41"/>
      <c r="E22" s="41"/>
      <c r="F22" s="41"/>
      <c r="G22" s="32"/>
      <c r="H22" s="32"/>
      <c r="I22" s="32"/>
      <c r="J22" s="32"/>
      <c r="K22" s="91">
        <f t="shared" si="12"/>
        <v>25480</v>
      </c>
      <c r="L22" s="32"/>
      <c r="M22" s="32"/>
      <c r="N22" s="32"/>
      <c r="O22" s="91">
        <f t="shared" ref="O22:O23" si="19">C22*300</f>
        <v>6000</v>
      </c>
      <c r="P22" s="91"/>
      <c r="Q22" s="91"/>
      <c r="R22" s="91"/>
      <c r="S22" s="32"/>
    </row>
    <row r="23" spans="1:19" s="42" customFormat="1" ht="12" x14ac:dyDescent="0.2">
      <c r="A23" s="39"/>
      <c r="B23" s="40" t="s">
        <v>17</v>
      </c>
      <c r="C23" s="41">
        <v>7</v>
      </c>
      <c r="D23" s="41"/>
      <c r="E23" s="41"/>
      <c r="F23" s="41"/>
      <c r="G23" s="32"/>
      <c r="H23" s="32"/>
      <c r="I23" s="32"/>
      <c r="J23" s="32"/>
      <c r="K23" s="91">
        <f t="shared" si="12"/>
        <v>8918</v>
      </c>
      <c r="L23" s="32"/>
      <c r="M23" s="32"/>
      <c r="N23" s="32"/>
      <c r="O23" s="91">
        <f t="shared" si="19"/>
        <v>2100</v>
      </c>
      <c r="P23" s="91"/>
      <c r="Q23" s="91"/>
      <c r="R23" s="91"/>
      <c r="S23" s="32"/>
    </row>
    <row r="24" spans="1:19" x14ac:dyDescent="0.2">
      <c r="A24" s="35">
        <v>6</v>
      </c>
      <c r="B24" s="37" t="s">
        <v>18</v>
      </c>
      <c r="C24" s="38">
        <f>C25+C26+C27</f>
        <v>55</v>
      </c>
      <c r="D24" s="38">
        <f t="shared" ref="D24:F24" si="20">D25+D26+D27</f>
        <v>0</v>
      </c>
      <c r="E24" s="38">
        <f t="shared" si="20"/>
        <v>0</v>
      </c>
      <c r="F24" s="38">
        <f t="shared" si="20"/>
        <v>0</v>
      </c>
      <c r="G24" s="31"/>
      <c r="H24" s="31"/>
      <c r="I24" s="31"/>
      <c r="J24" s="31"/>
      <c r="K24" s="30">
        <f>K25+K26+K27</f>
        <v>70070</v>
      </c>
      <c r="L24" s="31"/>
      <c r="M24" s="31"/>
      <c r="N24" s="31"/>
      <c r="O24" s="31">
        <f>O25+O26+O27</f>
        <v>16500</v>
      </c>
      <c r="P24" s="31">
        <f t="shared" ref="P24:Q24" si="21">P25+P26+P27</f>
        <v>0</v>
      </c>
      <c r="Q24" s="31">
        <f t="shared" si="21"/>
        <v>0</v>
      </c>
      <c r="R24" s="31">
        <f>R25+R26+R27</f>
        <v>0</v>
      </c>
      <c r="S24" s="30">
        <f>G24+H24+I24+K24+L24+M24+O24+P24+Q24+J24+N24+R24</f>
        <v>86570</v>
      </c>
    </row>
    <row r="25" spans="1:19" s="42" customFormat="1" ht="12" x14ac:dyDescent="0.2">
      <c r="A25" s="39"/>
      <c r="B25" s="40" t="s">
        <v>57</v>
      </c>
      <c r="C25" s="41">
        <v>25</v>
      </c>
      <c r="D25" s="41"/>
      <c r="E25" s="41"/>
      <c r="F25" s="41"/>
      <c r="G25" s="32"/>
      <c r="H25" s="32"/>
      <c r="I25" s="32"/>
      <c r="J25" s="32"/>
      <c r="K25" s="91">
        <f t="shared" si="12"/>
        <v>31850</v>
      </c>
      <c r="L25" s="32"/>
      <c r="M25" s="32"/>
      <c r="N25" s="32"/>
      <c r="O25" s="91">
        <f t="shared" ref="O25:O27" si="22">C25*300</f>
        <v>7500</v>
      </c>
      <c r="P25" s="91"/>
      <c r="Q25" s="91"/>
      <c r="R25" s="91"/>
      <c r="S25" s="32"/>
    </row>
    <row r="26" spans="1:19" s="42" customFormat="1" ht="12" x14ac:dyDescent="0.2">
      <c r="A26" s="39"/>
      <c r="B26" s="40" t="s">
        <v>58</v>
      </c>
      <c r="C26" s="41">
        <v>20</v>
      </c>
      <c r="D26" s="41"/>
      <c r="E26" s="41"/>
      <c r="F26" s="41"/>
      <c r="G26" s="32"/>
      <c r="H26" s="32"/>
      <c r="I26" s="32"/>
      <c r="J26" s="32"/>
      <c r="K26" s="91">
        <f t="shared" si="12"/>
        <v>25480</v>
      </c>
      <c r="L26" s="32"/>
      <c r="M26" s="32"/>
      <c r="N26" s="32"/>
      <c r="O26" s="91">
        <f t="shared" si="22"/>
        <v>6000</v>
      </c>
      <c r="P26" s="91"/>
      <c r="Q26" s="91"/>
      <c r="R26" s="91"/>
      <c r="S26" s="32"/>
    </row>
    <row r="27" spans="1:19" s="42" customFormat="1" ht="12" x14ac:dyDescent="0.2">
      <c r="A27" s="39"/>
      <c r="B27" s="40" t="s">
        <v>92</v>
      </c>
      <c r="C27" s="41">
        <v>10</v>
      </c>
      <c r="D27" s="41"/>
      <c r="E27" s="41"/>
      <c r="F27" s="41"/>
      <c r="G27" s="32"/>
      <c r="H27" s="32"/>
      <c r="I27" s="32"/>
      <c r="J27" s="32"/>
      <c r="K27" s="91">
        <f t="shared" si="12"/>
        <v>12740</v>
      </c>
      <c r="L27" s="32"/>
      <c r="M27" s="32"/>
      <c r="N27" s="32"/>
      <c r="O27" s="91">
        <f t="shared" si="22"/>
        <v>3000</v>
      </c>
      <c r="P27" s="91"/>
      <c r="Q27" s="91"/>
      <c r="R27" s="91"/>
      <c r="S27" s="91"/>
    </row>
    <row r="28" spans="1:19" x14ac:dyDescent="0.2">
      <c r="A28" s="35">
        <v>7</v>
      </c>
      <c r="B28" s="37" t="s">
        <v>19</v>
      </c>
      <c r="C28" s="38">
        <v>40</v>
      </c>
      <c r="D28" s="38">
        <v>20</v>
      </c>
      <c r="E28" s="38"/>
      <c r="F28" s="38"/>
      <c r="G28" s="31"/>
      <c r="H28" s="31"/>
      <c r="I28" s="31"/>
      <c r="J28" s="31"/>
      <c r="K28" s="30">
        <f>C28*91*14</f>
        <v>50960</v>
      </c>
      <c r="L28" s="30">
        <f>D28*91*15</f>
        <v>27300</v>
      </c>
      <c r="M28" s="31"/>
      <c r="N28" s="31"/>
      <c r="O28" s="30">
        <f>C28*300</f>
        <v>12000</v>
      </c>
      <c r="P28" s="30">
        <f t="shared" ref="P28:P30" si="23">D28*300</f>
        <v>6000</v>
      </c>
      <c r="Q28" s="30"/>
      <c r="R28" s="30"/>
      <c r="S28" s="30">
        <f t="shared" ref="S28:S30" si="24">G28+H28+I28+K28+L28+M28+O28+P28+Q28+J28+N28+R28</f>
        <v>96260</v>
      </c>
    </row>
    <row r="29" spans="1:19" x14ac:dyDescent="0.2">
      <c r="A29" s="35">
        <v>8</v>
      </c>
      <c r="B29" s="37" t="s">
        <v>20</v>
      </c>
      <c r="C29" s="38">
        <v>11</v>
      </c>
      <c r="D29" s="38"/>
      <c r="E29" s="38"/>
      <c r="F29" s="38"/>
      <c r="G29" s="31"/>
      <c r="H29" s="31"/>
      <c r="I29" s="31"/>
      <c r="J29" s="31"/>
      <c r="K29" s="30">
        <f>C29*91*14</f>
        <v>14014</v>
      </c>
      <c r="L29" s="31"/>
      <c r="M29" s="31"/>
      <c r="N29" s="31"/>
      <c r="O29" s="30">
        <f>C29*300</f>
        <v>3300</v>
      </c>
      <c r="P29" s="30"/>
      <c r="Q29" s="30"/>
      <c r="R29" s="30"/>
      <c r="S29" s="30">
        <f t="shared" si="24"/>
        <v>17314</v>
      </c>
    </row>
    <row r="30" spans="1:19" ht="53.45" customHeight="1" x14ac:dyDescent="0.2">
      <c r="A30" s="35">
        <v>9</v>
      </c>
      <c r="B30" s="36" t="s">
        <v>98</v>
      </c>
      <c r="C30" s="35">
        <v>70</v>
      </c>
      <c r="D30" s="35">
        <v>60</v>
      </c>
      <c r="E30" s="35">
        <v>70</v>
      </c>
      <c r="F30" s="35">
        <v>65</v>
      </c>
      <c r="G30" s="30"/>
      <c r="H30" s="30"/>
      <c r="I30" s="30">
        <v>47565</v>
      </c>
      <c r="J30" s="30">
        <f>F30*91*14</f>
        <v>82810</v>
      </c>
      <c r="K30" s="30">
        <f>C30*91*14</f>
        <v>89180</v>
      </c>
      <c r="L30" s="30">
        <f>D30*91*15</f>
        <v>81900</v>
      </c>
      <c r="M30" s="30">
        <f>E30*91*15-47565</f>
        <v>47985</v>
      </c>
      <c r="N30" s="30"/>
      <c r="O30" s="30">
        <f>C30*300</f>
        <v>21000</v>
      </c>
      <c r="P30" s="30">
        <f t="shared" si="23"/>
        <v>18000</v>
      </c>
      <c r="Q30" s="30">
        <f t="shared" ref="Q30" si="25">E30*300</f>
        <v>21000</v>
      </c>
      <c r="R30" s="30">
        <f t="shared" ref="R30" si="26">F30*300</f>
        <v>19500</v>
      </c>
      <c r="S30" s="30">
        <f t="shared" si="24"/>
        <v>428940</v>
      </c>
    </row>
    <row r="31" spans="1:19" x14ac:dyDescent="0.2">
      <c r="A31" s="44"/>
      <c r="B31" s="45" t="s">
        <v>4</v>
      </c>
      <c r="C31" s="46">
        <f t="shared" ref="C31:S31" si="27">C11+C12+C17+C18+C21+C24+C28+C29+C30</f>
        <v>475</v>
      </c>
      <c r="D31" s="46">
        <f t="shared" si="27"/>
        <v>255</v>
      </c>
      <c r="E31" s="46">
        <f t="shared" si="27"/>
        <v>140</v>
      </c>
      <c r="F31" s="46">
        <f t="shared" si="27"/>
        <v>135</v>
      </c>
      <c r="G31" s="33">
        <f t="shared" si="27"/>
        <v>146510</v>
      </c>
      <c r="H31" s="33">
        <f t="shared" si="27"/>
        <v>136500</v>
      </c>
      <c r="I31" s="33">
        <f t="shared" si="27"/>
        <v>143115</v>
      </c>
      <c r="J31" s="33">
        <f t="shared" si="27"/>
        <v>171990</v>
      </c>
      <c r="K31" s="33">
        <f t="shared" si="27"/>
        <v>458640</v>
      </c>
      <c r="L31" s="33">
        <f t="shared" si="27"/>
        <v>211575</v>
      </c>
      <c r="M31" s="33">
        <f t="shared" si="27"/>
        <v>47985</v>
      </c>
      <c r="N31" s="33">
        <f t="shared" si="27"/>
        <v>0</v>
      </c>
      <c r="O31" s="33">
        <f t="shared" si="27"/>
        <v>142500</v>
      </c>
      <c r="P31" s="33">
        <f t="shared" si="27"/>
        <v>76500</v>
      </c>
      <c r="Q31" s="33">
        <f t="shared" si="27"/>
        <v>42000</v>
      </c>
      <c r="R31" s="33">
        <f t="shared" si="27"/>
        <v>40500</v>
      </c>
      <c r="S31" s="33">
        <f t="shared" si="27"/>
        <v>1199020</v>
      </c>
    </row>
    <row r="33" spans="1:19" ht="14.45" customHeight="1" x14ac:dyDescent="0.2">
      <c r="A33" s="96" t="s">
        <v>29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</row>
    <row r="34" spans="1:19" ht="12.75" customHeight="1" x14ac:dyDescent="0.25">
      <c r="A34" s="130" t="s">
        <v>93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95"/>
      <c r="Q34" s="95"/>
      <c r="R34" s="95"/>
      <c r="S34" s="95"/>
    </row>
    <row r="35" spans="1:19" ht="15" x14ac:dyDescent="0.25">
      <c r="A35" s="129" t="s">
        <v>94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01"/>
      <c r="O35" s="84"/>
      <c r="P35" s="95"/>
      <c r="Q35" s="95"/>
      <c r="R35" s="95"/>
      <c r="S35" s="95"/>
    </row>
    <row r="36" spans="1:19" ht="15" x14ac:dyDescent="0.25">
      <c r="A36" s="129" t="s">
        <v>158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00"/>
      <c r="O36" s="84"/>
      <c r="P36" s="96"/>
      <c r="Q36" s="96"/>
      <c r="R36" s="96"/>
      <c r="S36" s="83"/>
    </row>
    <row r="37" spans="1:19" ht="12.75" customHeight="1" x14ac:dyDescent="0.2">
      <c r="A37" s="129" t="s">
        <v>159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84"/>
      <c r="O37" s="95"/>
      <c r="P37" s="95"/>
      <c r="Q37" s="95"/>
      <c r="R37" s="95"/>
      <c r="S37" s="95"/>
    </row>
    <row r="38" spans="1:19" ht="12.75" customHeight="1" x14ac:dyDescent="0.25">
      <c r="A38" s="130" t="s">
        <v>95</v>
      </c>
      <c r="B38" s="131"/>
      <c r="C38" s="131"/>
      <c r="D38" s="131"/>
      <c r="E38" s="131"/>
      <c r="F38" s="131"/>
      <c r="G38" s="131"/>
      <c r="H38" s="131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84"/>
    </row>
    <row r="39" spans="1:19" ht="15" x14ac:dyDescent="0.25">
      <c r="A39" s="130" t="s">
        <v>97</v>
      </c>
      <c r="B39" s="131"/>
      <c r="C39" s="131"/>
      <c r="D39" s="131"/>
      <c r="E39" s="131"/>
      <c r="F39" s="131"/>
      <c r="G39" s="131"/>
      <c r="H39" s="131"/>
      <c r="I39" s="131"/>
      <c r="J39" s="97"/>
      <c r="K39" s="98"/>
      <c r="L39" s="98"/>
      <c r="M39" s="98"/>
      <c r="N39" s="98"/>
      <c r="O39" s="92"/>
      <c r="P39" s="96"/>
      <c r="Q39" s="96"/>
      <c r="R39" s="96"/>
      <c r="S39" s="96"/>
    </row>
    <row r="40" spans="1:19" ht="15" x14ac:dyDescent="0.25">
      <c r="A40" s="96" t="s">
        <v>96</v>
      </c>
      <c r="B40" s="97"/>
      <c r="C40" s="97"/>
      <c r="D40" s="97"/>
      <c r="E40" s="97"/>
      <c r="F40" s="97"/>
      <c r="G40" s="97"/>
      <c r="H40" s="97"/>
      <c r="I40" s="97"/>
      <c r="J40" s="97"/>
      <c r="K40" s="98"/>
      <c r="L40" s="98"/>
      <c r="M40" s="98"/>
      <c r="N40" s="98"/>
      <c r="O40" s="96"/>
      <c r="P40" s="96"/>
      <c r="Q40" s="96"/>
      <c r="R40" s="96"/>
      <c r="S40" s="96"/>
    </row>
    <row r="41" spans="1:19" ht="15" x14ac:dyDescent="0.25">
      <c r="A41" s="96" t="s">
        <v>102</v>
      </c>
      <c r="B41" s="97"/>
      <c r="C41" s="97"/>
      <c r="D41" s="97"/>
      <c r="E41" s="97"/>
      <c r="F41" s="97"/>
      <c r="G41" s="97"/>
      <c r="H41" s="97"/>
      <c r="I41" s="97"/>
      <c r="J41" s="97"/>
      <c r="K41" s="98"/>
      <c r="L41" s="98"/>
      <c r="M41" s="98"/>
      <c r="N41" s="98"/>
      <c r="O41" s="96"/>
      <c r="P41" s="96"/>
      <c r="Q41" s="96"/>
      <c r="R41" s="96"/>
      <c r="S41" s="96"/>
    </row>
    <row r="42" spans="1:19" ht="12.75" customHeight="1" x14ac:dyDescent="0.2">
      <c r="A42" s="96" t="s">
        <v>30</v>
      </c>
      <c r="B42" s="96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6"/>
      <c r="P42" s="96"/>
      <c r="Q42" s="96"/>
      <c r="R42" s="96"/>
      <c r="S42" s="96"/>
    </row>
    <row r="43" spans="1:19" ht="12.75" customHeight="1" x14ac:dyDescent="0.25">
      <c r="A43" s="132" t="s">
        <v>59</v>
      </c>
      <c r="B43" s="133"/>
      <c r="C43" s="133"/>
      <c r="D43" s="133"/>
      <c r="E43" s="133"/>
      <c r="F43" s="133"/>
      <c r="G43" s="133"/>
      <c r="H43" s="133"/>
      <c r="I43" s="85"/>
      <c r="J43" s="85"/>
      <c r="K43" s="96"/>
      <c r="L43" s="96"/>
      <c r="M43" s="96"/>
      <c r="N43" s="96"/>
      <c r="O43" s="96"/>
      <c r="P43" s="96"/>
      <c r="Q43" s="96"/>
      <c r="R43" s="96"/>
      <c r="S43" s="96"/>
    </row>
    <row r="44" spans="1:19" x14ac:dyDescent="0.2">
      <c r="A44" s="96" t="s">
        <v>34</v>
      </c>
      <c r="B44" s="96"/>
      <c r="C44" s="96"/>
      <c r="D44" s="96"/>
      <c r="E44" s="96"/>
      <c r="F44" s="96"/>
      <c r="G44" s="96"/>
      <c r="H44" s="96"/>
      <c r="I44" s="85"/>
      <c r="J44" s="85"/>
      <c r="K44" s="96"/>
      <c r="L44" s="96"/>
      <c r="M44" s="96"/>
      <c r="N44" s="96"/>
      <c r="O44" s="96"/>
      <c r="P44" s="96"/>
      <c r="Q44" s="96"/>
      <c r="R44" s="96"/>
      <c r="S44" s="96"/>
    </row>
    <row r="45" spans="1:19" x14ac:dyDescent="0.2">
      <c r="A45" s="96" t="s">
        <v>88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</row>
    <row r="46" spans="1:19" x14ac:dyDescent="0.2">
      <c r="A46" s="96" t="s">
        <v>35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</row>
    <row r="52" spans="2:7" x14ac:dyDescent="0.2">
      <c r="B52" s="42" t="s">
        <v>117</v>
      </c>
      <c r="C52" s="42">
        <f>C31+D31+E31+F31+'весна, осень'!C32+'весна, осень'!D32+'твое призвание'!C13+'школа мол. актива (дневной)'!C13+'мы-патриоты (дневной)'!C14+'слет кадетов (дневной)'!C14</f>
        <v>1734</v>
      </c>
    </row>
    <row r="53" spans="2:7" x14ac:dyDescent="0.2">
      <c r="B53" s="42" t="s">
        <v>118</v>
      </c>
      <c r="C53" s="94">
        <f>K31+L31+M31+N31</f>
        <v>718200</v>
      </c>
      <c r="G53" s="43"/>
    </row>
    <row r="54" spans="2:7" x14ac:dyDescent="0.2">
      <c r="B54" s="42" t="s">
        <v>119</v>
      </c>
      <c r="C54" s="94">
        <f>G31+H31+I31+J31+'весна, осень'!E32+'весна, осень'!F32+'твое призвание'!E13+'школа мол. актива (дневной)'!E13+'мы-патриоты (дневной)'!E14+'слет кадетов (дневной)'!E14</f>
        <v>986776</v>
      </c>
    </row>
    <row r="55" spans="2:7" x14ac:dyDescent="0.2">
      <c r="G55" s="43"/>
    </row>
    <row r="57" spans="2:7" x14ac:dyDescent="0.2">
      <c r="G57" s="43"/>
    </row>
  </sheetData>
  <mergeCells count="20">
    <mergeCell ref="O1:S1"/>
    <mergeCell ref="O2:S2"/>
    <mergeCell ref="O3:S3"/>
    <mergeCell ref="O4:S4"/>
    <mergeCell ref="S8:S10"/>
    <mergeCell ref="A6:S6"/>
    <mergeCell ref="C8:F9"/>
    <mergeCell ref="G9:J9"/>
    <mergeCell ref="K9:N9"/>
    <mergeCell ref="G8:R8"/>
    <mergeCell ref="O9:R9"/>
    <mergeCell ref="A37:M37"/>
    <mergeCell ref="A38:H38"/>
    <mergeCell ref="A39:I39"/>
    <mergeCell ref="A43:H43"/>
    <mergeCell ref="A8:A10"/>
    <mergeCell ref="B8:B10"/>
    <mergeCell ref="A34:O34"/>
    <mergeCell ref="A35:M35"/>
    <mergeCell ref="A36:M36"/>
  </mergeCell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G37"/>
  <sheetViews>
    <sheetView topLeftCell="A10" zoomScaleNormal="100" workbookViewId="0">
      <selection activeCell="J13" sqref="J13"/>
    </sheetView>
  </sheetViews>
  <sheetFormatPr defaultColWidth="8.85546875" defaultRowHeight="12.75" x14ac:dyDescent="0.2"/>
  <cols>
    <col min="1" max="1" width="5.140625" style="1" customWidth="1"/>
    <col min="2" max="2" width="40" style="1" customWidth="1"/>
    <col min="3" max="4" width="8.28515625" style="1" customWidth="1"/>
    <col min="5" max="5" width="11.42578125" style="29" customWidth="1"/>
    <col min="6" max="6" width="11.42578125" style="1" customWidth="1"/>
    <col min="7" max="7" width="11.7109375" style="1" customWidth="1"/>
    <col min="8" max="16384" width="8.85546875" style="1"/>
  </cols>
  <sheetData>
    <row r="1" spans="1:7" ht="14.45" customHeight="1" x14ac:dyDescent="0.2">
      <c r="D1" s="139" t="s">
        <v>28</v>
      </c>
      <c r="E1" s="139"/>
      <c r="F1" s="139"/>
      <c r="G1" s="139"/>
    </row>
    <row r="2" spans="1:7" ht="14.45" customHeight="1" x14ac:dyDescent="0.2">
      <c r="D2" s="139" t="s">
        <v>25</v>
      </c>
      <c r="E2" s="139"/>
      <c r="F2" s="139"/>
      <c r="G2" s="139"/>
    </row>
    <row r="3" spans="1:7" ht="14.45" customHeight="1" x14ac:dyDescent="0.2">
      <c r="D3" s="139" t="s">
        <v>26</v>
      </c>
      <c r="E3" s="139"/>
      <c r="F3" s="139"/>
      <c r="G3" s="139"/>
    </row>
    <row r="4" spans="1:7" ht="14.45" customHeight="1" x14ac:dyDescent="0.2">
      <c r="D4" s="139" t="s">
        <v>169</v>
      </c>
      <c r="E4" s="139"/>
      <c r="F4" s="139"/>
      <c r="G4" s="139"/>
    </row>
    <row r="5" spans="1:7" s="23" customFormat="1" ht="14.45" customHeight="1" x14ac:dyDescent="0.2">
      <c r="D5" s="52"/>
      <c r="E5" s="88"/>
      <c r="F5" s="52"/>
      <c r="G5" s="52"/>
    </row>
    <row r="6" spans="1:7" s="23" customFormat="1" ht="26.45" customHeight="1" x14ac:dyDescent="0.2">
      <c r="A6" s="156" t="s">
        <v>27</v>
      </c>
      <c r="B6" s="156"/>
      <c r="C6" s="156"/>
      <c r="D6" s="156"/>
      <c r="E6" s="156"/>
      <c r="F6" s="156"/>
      <c r="G6" s="156"/>
    </row>
    <row r="8" spans="1:7" s="3" customFormat="1" x14ac:dyDescent="0.25">
      <c r="A8" s="152" t="s">
        <v>5</v>
      </c>
      <c r="B8" s="155" t="s">
        <v>0</v>
      </c>
      <c r="C8" s="155" t="s">
        <v>1</v>
      </c>
      <c r="D8" s="155"/>
      <c r="E8" s="155" t="s">
        <v>3</v>
      </c>
      <c r="F8" s="155"/>
      <c r="G8" s="155" t="s">
        <v>4</v>
      </c>
    </row>
    <row r="9" spans="1:7" s="3" customFormat="1" ht="25.15" customHeight="1" x14ac:dyDescent="0.25">
      <c r="A9" s="153"/>
      <c r="B9" s="155"/>
      <c r="C9" s="155"/>
      <c r="D9" s="155"/>
      <c r="E9" s="155" t="s">
        <v>7</v>
      </c>
      <c r="F9" s="155"/>
      <c r="G9" s="155"/>
    </row>
    <row r="10" spans="1:7" s="3" customFormat="1" ht="51" x14ac:dyDescent="0.25">
      <c r="A10" s="154"/>
      <c r="B10" s="155"/>
      <c r="C10" s="6" t="s">
        <v>111</v>
      </c>
      <c r="D10" s="89" t="s">
        <v>23</v>
      </c>
      <c r="E10" s="87" t="s">
        <v>112</v>
      </c>
      <c r="F10" s="89" t="s">
        <v>37</v>
      </c>
      <c r="G10" s="155"/>
    </row>
    <row r="11" spans="1:7" x14ac:dyDescent="0.2">
      <c r="A11" s="7">
        <v>1</v>
      </c>
      <c r="B11" s="8" t="s">
        <v>22</v>
      </c>
      <c r="C11" s="6">
        <f>C12+C13</f>
        <v>61</v>
      </c>
      <c r="D11" s="111">
        <f>D12+D13</f>
        <v>41</v>
      </c>
      <c r="E11" s="30">
        <f>E12+E13</f>
        <v>27755</v>
      </c>
      <c r="F11" s="122">
        <f>F12+F13</f>
        <v>18655</v>
      </c>
      <c r="G11" s="9">
        <f>E11+F11</f>
        <v>46410</v>
      </c>
    </row>
    <row r="12" spans="1:7" s="17" customFormat="1" ht="12" x14ac:dyDescent="0.2">
      <c r="A12" s="13"/>
      <c r="B12" s="40" t="s">
        <v>151</v>
      </c>
      <c r="C12" s="114">
        <v>41</v>
      </c>
      <c r="D12" s="114">
        <v>41</v>
      </c>
      <c r="E12" s="91">
        <f>C12*91*5</f>
        <v>18655</v>
      </c>
      <c r="F12" s="22">
        <f>D12*91*5</f>
        <v>18655</v>
      </c>
      <c r="G12" s="22"/>
    </row>
    <row r="13" spans="1:7" s="17" customFormat="1" ht="36" x14ac:dyDescent="0.2">
      <c r="A13" s="13"/>
      <c r="B13" s="112" t="s">
        <v>150</v>
      </c>
      <c r="C13" s="114">
        <v>20</v>
      </c>
      <c r="D13" s="114"/>
      <c r="E13" s="91">
        <f>C13*91*5</f>
        <v>9100</v>
      </c>
      <c r="F13" s="22"/>
      <c r="G13" s="22"/>
    </row>
    <row r="14" spans="1:7" x14ac:dyDescent="0.2">
      <c r="A14" s="7">
        <v>2</v>
      </c>
      <c r="B14" s="10" t="s">
        <v>8</v>
      </c>
      <c r="C14" s="11">
        <f>C15+C16+C17</f>
        <v>41</v>
      </c>
      <c r="D14" s="11">
        <f>D15+D16+D17</f>
        <v>64</v>
      </c>
      <c r="E14" s="31">
        <f>E15+E16+E17</f>
        <v>18655</v>
      </c>
      <c r="F14" s="123">
        <f>F15+F16+F17</f>
        <v>29120</v>
      </c>
      <c r="G14" s="9">
        <f>E14+F14</f>
        <v>47775</v>
      </c>
    </row>
    <row r="15" spans="1:7" s="17" customFormat="1" ht="12" x14ac:dyDescent="0.2">
      <c r="A15" s="13"/>
      <c r="B15" s="14" t="s">
        <v>9</v>
      </c>
      <c r="C15" s="15">
        <v>27</v>
      </c>
      <c r="D15" s="15">
        <v>30</v>
      </c>
      <c r="E15" s="91">
        <f t="shared" ref="E15:F18" si="0">C15*91*5</f>
        <v>12285</v>
      </c>
      <c r="F15" s="22">
        <f t="shared" si="0"/>
        <v>13650</v>
      </c>
      <c r="G15" s="16"/>
    </row>
    <row r="16" spans="1:7" s="17" customFormat="1" ht="12" x14ac:dyDescent="0.2">
      <c r="A16" s="13"/>
      <c r="B16" s="14" t="s">
        <v>10</v>
      </c>
      <c r="C16" s="15">
        <v>14</v>
      </c>
      <c r="D16" s="15">
        <v>14</v>
      </c>
      <c r="E16" s="91">
        <f t="shared" si="0"/>
        <v>6370</v>
      </c>
      <c r="F16" s="22">
        <f t="shared" si="0"/>
        <v>6370</v>
      </c>
      <c r="G16" s="16"/>
    </row>
    <row r="17" spans="1:7" s="17" customFormat="1" ht="36" x14ac:dyDescent="0.2">
      <c r="A17" s="13"/>
      <c r="B17" s="112" t="s">
        <v>150</v>
      </c>
      <c r="C17" s="13"/>
      <c r="D17" s="13">
        <v>20</v>
      </c>
      <c r="E17" s="91"/>
      <c r="F17" s="22">
        <f>D17*91*5</f>
        <v>9100</v>
      </c>
      <c r="G17" s="115"/>
    </row>
    <row r="18" spans="1:7" x14ac:dyDescent="0.2">
      <c r="A18" s="7">
        <v>3</v>
      </c>
      <c r="B18" s="10" t="s">
        <v>11</v>
      </c>
      <c r="C18" s="11">
        <v>30</v>
      </c>
      <c r="D18" s="11">
        <v>30</v>
      </c>
      <c r="E18" s="30">
        <f t="shared" si="0"/>
        <v>13650</v>
      </c>
      <c r="F18" s="125">
        <f t="shared" si="0"/>
        <v>13650</v>
      </c>
      <c r="G18" s="30">
        <f>E18+F18</f>
        <v>27300</v>
      </c>
    </row>
    <row r="19" spans="1:7" x14ac:dyDescent="0.2">
      <c r="A19" s="7">
        <v>4</v>
      </c>
      <c r="B19" s="10" t="s">
        <v>12</v>
      </c>
      <c r="C19" s="11">
        <f>C20+C21</f>
        <v>48</v>
      </c>
      <c r="D19" s="11">
        <f>D20+D21</f>
        <v>48</v>
      </c>
      <c r="E19" s="31">
        <f>E20+E21</f>
        <v>21840</v>
      </c>
      <c r="F19" s="12">
        <f>F20+F21</f>
        <v>21840</v>
      </c>
      <c r="G19" s="30">
        <f>E19+F19</f>
        <v>43680</v>
      </c>
    </row>
    <row r="20" spans="1:7" s="17" customFormat="1" ht="12" x14ac:dyDescent="0.2">
      <c r="A20" s="13"/>
      <c r="B20" s="14" t="s">
        <v>13</v>
      </c>
      <c r="C20" s="15">
        <v>38</v>
      </c>
      <c r="D20" s="15">
        <v>38</v>
      </c>
      <c r="E20" s="91">
        <f>C20*91*5</f>
        <v>17290</v>
      </c>
      <c r="F20" s="22">
        <f>D20*91*5</f>
        <v>17290</v>
      </c>
      <c r="G20" s="32"/>
    </row>
    <row r="21" spans="1:7" s="17" customFormat="1" ht="12" x14ac:dyDescent="0.2">
      <c r="A21" s="13"/>
      <c r="B21" s="14" t="s">
        <v>14</v>
      </c>
      <c r="C21" s="15">
        <v>10</v>
      </c>
      <c r="D21" s="15">
        <v>10</v>
      </c>
      <c r="E21" s="91">
        <f>C21*91*5</f>
        <v>4550</v>
      </c>
      <c r="F21" s="22">
        <f>D21*91*5</f>
        <v>4550</v>
      </c>
      <c r="G21" s="32"/>
    </row>
    <row r="22" spans="1:7" x14ac:dyDescent="0.2">
      <c r="A22" s="7">
        <v>5</v>
      </c>
      <c r="B22" s="10" t="s">
        <v>15</v>
      </c>
      <c r="C22" s="11">
        <f>C23+C24</f>
        <v>26</v>
      </c>
      <c r="D22" s="11">
        <f>D23+D24</f>
        <v>26</v>
      </c>
      <c r="E22" s="31">
        <f>E23+E24</f>
        <v>11830</v>
      </c>
      <c r="F22" s="124">
        <f>F23+F24</f>
        <v>11830</v>
      </c>
      <c r="G22" s="30">
        <f>E22+F22</f>
        <v>23660</v>
      </c>
    </row>
    <row r="23" spans="1:7" x14ac:dyDescent="0.2">
      <c r="A23" s="7"/>
      <c r="B23" s="14" t="s">
        <v>16</v>
      </c>
      <c r="C23" s="15">
        <v>20</v>
      </c>
      <c r="D23" s="15">
        <v>20</v>
      </c>
      <c r="E23" s="91">
        <f>C23*91*5</f>
        <v>9100</v>
      </c>
      <c r="F23" s="22">
        <f>D23*91*5</f>
        <v>9100</v>
      </c>
      <c r="G23" s="32"/>
    </row>
    <row r="24" spans="1:7" x14ac:dyDescent="0.2">
      <c r="A24" s="7"/>
      <c r="B24" s="14" t="s">
        <v>17</v>
      </c>
      <c r="C24" s="15">
        <v>6</v>
      </c>
      <c r="D24" s="15">
        <v>6</v>
      </c>
      <c r="E24" s="91">
        <f>C24*91*5</f>
        <v>2730</v>
      </c>
      <c r="F24" s="22">
        <f>D24*91*5</f>
        <v>2730</v>
      </c>
      <c r="G24" s="32"/>
    </row>
    <row r="25" spans="1:7" x14ac:dyDescent="0.2">
      <c r="A25" s="7">
        <v>6</v>
      </c>
      <c r="B25" s="10" t="s">
        <v>18</v>
      </c>
      <c r="C25" s="11">
        <f>C26+C27+C28</f>
        <v>30</v>
      </c>
      <c r="D25" s="11">
        <f>D26+D27+D28</f>
        <v>30</v>
      </c>
      <c r="E25" s="31">
        <f>E26+E27+E28</f>
        <v>13650</v>
      </c>
      <c r="F25" s="124">
        <f>F26+F27+F28</f>
        <v>13650</v>
      </c>
      <c r="G25" s="30">
        <f>E25+F25</f>
        <v>27300</v>
      </c>
    </row>
    <row r="26" spans="1:7" s="17" customFormat="1" ht="12" x14ac:dyDescent="0.2">
      <c r="A26" s="13"/>
      <c r="B26" s="14" t="s">
        <v>57</v>
      </c>
      <c r="C26" s="15">
        <v>15</v>
      </c>
      <c r="D26" s="15">
        <v>15</v>
      </c>
      <c r="E26" s="91">
        <f t="shared" ref="E26:F28" si="1">C26*91*5</f>
        <v>6825</v>
      </c>
      <c r="F26" s="22">
        <f t="shared" si="1"/>
        <v>6825</v>
      </c>
      <c r="G26" s="32"/>
    </row>
    <row r="27" spans="1:7" s="17" customFormat="1" ht="12" x14ac:dyDescent="0.2">
      <c r="A27" s="13"/>
      <c r="B27" s="14" t="s">
        <v>58</v>
      </c>
      <c r="C27" s="15">
        <v>10</v>
      </c>
      <c r="D27" s="15">
        <v>15</v>
      </c>
      <c r="E27" s="91">
        <f t="shared" si="1"/>
        <v>4550</v>
      </c>
      <c r="F27" s="22">
        <f t="shared" si="1"/>
        <v>6825</v>
      </c>
      <c r="G27" s="32"/>
    </row>
    <row r="28" spans="1:7" x14ac:dyDescent="0.2">
      <c r="A28" s="7"/>
      <c r="B28" s="14" t="s">
        <v>61</v>
      </c>
      <c r="C28" s="15">
        <v>5</v>
      </c>
      <c r="D28" s="15">
        <v>0</v>
      </c>
      <c r="E28" s="91">
        <f t="shared" si="1"/>
        <v>2275</v>
      </c>
      <c r="F28" s="22">
        <f t="shared" si="1"/>
        <v>0</v>
      </c>
      <c r="G28" s="32"/>
    </row>
    <row r="29" spans="1:7" x14ac:dyDescent="0.2">
      <c r="A29" s="7">
        <v>7</v>
      </c>
      <c r="B29" s="10" t="s">
        <v>19</v>
      </c>
      <c r="C29" s="11">
        <v>40</v>
      </c>
      <c r="D29" s="11">
        <v>40</v>
      </c>
      <c r="E29" s="30">
        <f t="shared" ref="E29:E31" si="2">C29*91*5</f>
        <v>18200</v>
      </c>
      <c r="F29" s="125">
        <f t="shared" ref="F29:F31" si="3">D29*91*5</f>
        <v>18200</v>
      </c>
      <c r="G29" s="30">
        <f>E29+F29</f>
        <v>36400</v>
      </c>
    </row>
    <row r="30" spans="1:7" x14ac:dyDescent="0.2">
      <c r="A30" s="7">
        <v>8</v>
      </c>
      <c r="B30" s="10" t="s">
        <v>20</v>
      </c>
      <c r="C30" s="11">
        <v>10</v>
      </c>
      <c r="D30" s="11">
        <v>7</v>
      </c>
      <c r="E30" s="30">
        <f t="shared" si="2"/>
        <v>4550</v>
      </c>
      <c r="F30" s="125">
        <f t="shared" si="3"/>
        <v>3185</v>
      </c>
      <c r="G30" s="30">
        <f>E30+F30</f>
        <v>7735</v>
      </c>
    </row>
    <row r="31" spans="1:7" ht="66.599999999999994" customHeight="1" x14ac:dyDescent="0.2">
      <c r="A31" s="7">
        <v>9</v>
      </c>
      <c r="B31" s="8" t="s">
        <v>113</v>
      </c>
      <c r="C31" s="7">
        <v>45</v>
      </c>
      <c r="D31" s="7">
        <v>45</v>
      </c>
      <c r="E31" s="30">
        <f t="shared" si="2"/>
        <v>20475</v>
      </c>
      <c r="F31" s="125">
        <f t="shared" si="3"/>
        <v>20475</v>
      </c>
      <c r="G31" s="30">
        <f>E31+F31</f>
        <v>40950</v>
      </c>
    </row>
    <row r="32" spans="1:7" x14ac:dyDescent="0.2">
      <c r="A32" s="18"/>
      <c r="B32" s="19" t="s">
        <v>4</v>
      </c>
      <c r="C32" s="20">
        <f>C11+C14+C18+C19+C22+C25+C29+C30+C31</f>
        <v>331</v>
      </c>
      <c r="D32" s="20">
        <f>D11+D14+D18+D19+D22+D25+D29+D30+D31</f>
        <v>331</v>
      </c>
      <c r="E32" s="33">
        <f>E11+E14+E18+E19+E22+E25+E29+E30+E31</f>
        <v>150605</v>
      </c>
      <c r="F32" s="33">
        <f t="shared" ref="F32:G32" si="4">F11+F14+F18+F19+F22+F25+F29+F30+F31</f>
        <v>150605</v>
      </c>
      <c r="G32" s="33">
        <f t="shared" si="4"/>
        <v>301210</v>
      </c>
    </row>
    <row r="34" spans="1:7" x14ac:dyDescent="0.2">
      <c r="A34" s="1" t="s">
        <v>29</v>
      </c>
      <c r="E34" s="43"/>
      <c r="F34" s="51"/>
    </row>
    <row r="35" spans="1:7" ht="26.45" customHeight="1" x14ac:dyDescent="0.2">
      <c r="A35" s="151" t="s">
        <v>114</v>
      </c>
      <c r="B35" s="151"/>
      <c r="C35" s="151"/>
      <c r="D35" s="151"/>
      <c r="E35" s="151"/>
      <c r="F35" s="151"/>
      <c r="G35" s="151"/>
    </row>
    <row r="36" spans="1:7" x14ac:dyDescent="0.2">
      <c r="A36" s="1" t="s">
        <v>115</v>
      </c>
    </row>
    <row r="37" spans="1:7" s="93" customFormat="1" ht="26.45" customHeight="1" x14ac:dyDescent="0.2">
      <c r="A37" s="151" t="s">
        <v>116</v>
      </c>
      <c r="B37" s="151"/>
      <c r="C37" s="151"/>
      <c r="D37" s="151"/>
      <c r="E37" s="151"/>
      <c r="F37" s="151"/>
      <c r="G37" s="151"/>
    </row>
  </sheetData>
  <mergeCells count="13">
    <mergeCell ref="A35:G35"/>
    <mergeCell ref="A37:G37"/>
    <mergeCell ref="D1:G1"/>
    <mergeCell ref="D2:G2"/>
    <mergeCell ref="D3:G3"/>
    <mergeCell ref="D4:G4"/>
    <mergeCell ref="A8:A10"/>
    <mergeCell ref="B8:B10"/>
    <mergeCell ref="C8:D9"/>
    <mergeCell ref="E8:F8"/>
    <mergeCell ref="G8:G10"/>
    <mergeCell ref="E9:F9"/>
    <mergeCell ref="A6:G6"/>
  </mergeCells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K23"/>
  <sheetViews>
    <sheetView zoomScaleNormal="100" workbookViewId="0">
      <selection activeCell="G1" sqref="G1:H4"/>
    </sheetView>
  </sheetViews>
  <sheetFormatPr defaultColWidth="8.85546875" defaultRowHeight="12.75" x14ac:dyDescent="0.2"/>
  <cols>
    <col min="1" max="1" width="5.140625" style="23" customWidth="1"/>
    <col min="2" max="2" width="33.85546875" style="23" customWidth="1"/>
    <col min="3" max="4" width="15.28515625" style="23" customWidth="1"/>
    <col min="5" max="7" width="17.5703125" style="23" customWidth="1"/>
    <col min="8" max="8" width="16.85546875" style="23" customWidth="1"/>
    <col min="9" max="16384" width="8.85546875" style="23"/>
  </cols>
  <sheetData>
    <row r="1" spans="1:11" x14ac:dyDescent="0.2">
      <c r="G1" s="139" t="s">
        <v>171</v>
      </c>
      <c r="H1" s="139"/>
    </row>
    <row r="2" spans="1:11" x14ac:dyDescent="0.2">
      <c r="G2" s="139" t="s">
        <v>25</v>
      </c>
      <c r="H2" s="139"/>
    </row>
    <row r="3" spans="1:11" x14ac:dyDescent="0.2">
      <c r="G3" s="139" t="s">
        <v>26</v>
      </c>
      <c r="H3" s="139"/>
    </row>
    <row r="4" spans="1:11" x14ac:dyDescent="0.2">
      <c r="G4" s="139" t="s">
        <v>169</v>
      </c>
      <c r="H4" s="139"/>
    </row>
    <row r="5" spans="1:11" x14ac:dyDescent="0.2">
      <c r="G5" s="48"/>
      <c r="H5" s="48"/>
    </row>
    <row r="6" spans="1:11" ht="14.45" customHeight="1" x14ac:dyDescent="0.2">
      <c r="A6" s="157" t="s">
        <v>69</v>
      </c>
      <c r="B6" s="157"/>
      <c r="C6" s="157"/>
      <c r="D6" s="157"/>
      <c r="E6" s="157"/>
      <c r="F6" s="157"/>
      <c r="G6" s="157"/>
      <c r="H6" s="157"/>
    </row>
    <row r="8" spans="1:11" s="3" customFormat="1" ht="13.15" customHeight="1" x14ac:dyDescent="0.25">
      <c r="A8" s="152" t="s">
        <v>5</v>
      </c>
      <c r="B8" s="155" t="s">
        <v>0</v>
      </c>
      <c r="C8" s="152" t="s">
        <v>1</v>
      </c>
      <c r="D8" s="152" t="s">
        <v>32</v>
      </c>
      <c r="E8" s="155" t="s">
        <v>3</v>
      </c>
      <c r="F8" s="155"/>
      <c r="G8" s="155"/>
      <c r="H8" s="155" t="s">
        <v>4</v>
      </c>
    </row>
    <row r="9" spans="1:11" s="3" customFormat="1" ht="54.6" customHeight="1" x14ac:dyDescent="0.25">
      <c r="A9" s="153"/>
      <c r="B9" s="155"/>
      <c r="C9" s="153"/>
      <c r="D9" s="153"/>
      <c r="E9" s="49" t="s">
        <v>7</v>
      </c>
      <c r="F9" s="50" t="s">
        <v>6</v>
      </c>
      <c r="G9" s="47" t="s">
        <v>64</v>
      </c>
      <c r="H9" s="155"/>
    </row>
    <row r="10" spans="1:11" s="3" customFormat="1" ht="38.25" x14ac:dyDescent="0.25">
      <c r="A10" s="154"/>
      <c r="B10" s="155"/>
      <c r="C10" s="154"/>
      <c r="D10" s="154"/>
      <c r="E10" s="50" t="s">
        <v>120</v>
      </c>
      <c r="F10" s="90" t="s">
        <v>120</v>
      </c>
      <c r="G10" s="90" t="s">
        <v>103</v>
      </c>
      <c r="H10" s="155"/>
    </row>
    <row r="11" spans="1:11" ht="38.25" x14ac:dyDescent="0.2">
      <c r="A11" s="7">
        <v>1</v>
      </c>
      <c r="B11" s="8" t="s">
        <v>106</v>
      </c>
      <c r="C11" s="50">
        <v>10</v>
      </c>
      <c r="D11" s="50">
        <v>1</v>
      </c>
      <c r="E11" s="24">
        <f>(C11+D11)*91*16</f>
        <v>16016</v>
      </c>
      <c r="F11" s="24"/>
      <c r="G11" s="24"/>
      <c r="H11" s="9">
        <f>E11+G11</f>
        <v>16016</v>
      </c>
    </row>
    <row r="12" spans="1:11" x14ac:dyDescent="0.2">
      <c r="A12" s="7"/>
      <c r="B12" s="10"/>
      <c r="C12" s="25"/>
      <c r="D12" s="25"/>
      <c r="E12" s="26"/>
      <c r="F12" s="26"/>
      <c r="G12" s="26"/>
      <c r="H12" s="9"/>
    </row>
    <row r="13" spans="1:11" x14ac:dyDescent="0.2">
      <c r="A13" s="18"/>
      <c r="B13" s="19" t="s">
        <v>4</v>
      </c>
      <c r="C13" s="27">
        <v>10</v>
      </c>
      <c r="D13" s="27">
        <f>D11</f>
        <v>1</v>
      </c>
      <c r="E13" s="28">
        <f>E11</f>
        <v>16016</v>
      </c>
      <c r="F13" s="28"/>
      <c r="G13" s="28">
        <f>G11</f>
        <v>0</v>
      </c>
      <c r="H13" s="21">
        <f>H11</f>
        <v>16016</v>
      </c>
    </row>
    <row r="15" spans="1:11" customFormat="1" ht="15" x14ac:dyDescent="0.25">
      <c r="A15" s="23" t="s">
        <v>29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1" customFormat="1" ht="15" x14ac:dyDescent="0.25">
      <c r="A16" s="23" t="s">
        <v>121</v>
      </c>
      <c r="B16" s="63"/>
      <c r="C16" s="23"/>
      <c r="D16" s="23"/>
      <c r="E16" s="23"/>
      <c r="F16" s="23"/>
      <c r="G16" s="23"/>
      <c r="H16" s="23"/>
      <c r="I16" s="23"/>
      <c r="J16" s="23"/>
      <c r="K16" s="23"/>
    </row>
    <row r="17" spans="1:11" customFormat="1" ht="15" x14ac:dyDescent="0.25">
      <c r="A17" s="23" t="s">
        <v>122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</row>
    <row r="18" spans="1:11" customFormat="1" ht="15" x14ac:dyDescent="0.25">
      <c r="A18" s="23" t="s">
        <v>123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spans="1:11" customFormat="1" ht="15" x14ac:dyDescent="0.25">
      <c r="A19" s="23" t="s">
        <v>30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customFormat="1" ht="15" x14ac:dyDescent="0.25">
      <c r="A20" s="23" t="s">
        <v>62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customFormat="1" ht="15" x14ac:dyDescent="0.25">
      <c r="A21" s="23" t="s">
        <v>63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2">
      <c r="A22" s="23" t="s">
        <v>104</v>
      </c>
    </row>
    <row r="23" spans="1:11" x14ac:dyDescent="0.2">
      <c r="A23" s="23" t="s">
        <v>105</v>
      </c>
    </row>
  </sheetData>
  <mergeCells count="11">
    <mergeCell ref="D8:D10"/>
    <mergeCell ref="G1:H1"/>
    <mergeCell ref="G2:H2"/>
    <mergeCell ref="G3:H3"/>
    <mergeCell ref="G4:H4"/>
    <mergeCell ref="A6:H6"/>
    <mergeCell ref="A8:A10"/>
    <mergeCell ref="B8:B10"/>
    <mergeCell ref="C8:C10"/>
    <mergeCell ref="E8:G8"/>
    <mergeCell ref="H8:H10"/>
  </mergeCells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K23"/>
  <sheetViews>
    <sheetView zoomScaleNormal="100" workbookViewId="0">
      <selection activeCell="K18" sqref="K18"/>
    </sheetView>
  </sheetViews>
  <sheetFormatPr defaultColWidth="8.85546875" defaultRowHeight="12.75" x14ac:dyDescent="0.2"/>
  <cols>
    <col min="1" max="1" width="5.140625" style="23" customWidth="1"/>
    <col min="2" max="2" width="38.85546875" style="23" customWidth="1"/>
    <col min="3" max="4" width="15.28515625" style="23" customWidth="1"/>
    <col min="5" max="7" width="17.5703125" style="23" customWidth="1"/>
    <col min="8" max="8" width="16.85546875" style="23" customWidth="1"/>
    <col min="9" max="16384" width="8.85546875" style="23"/>
  </cols>
  <sheetData>
    <row r="1" spans="1:11" x14ac:dyDescent="0.2">
      <c r="G1" s="161" t="s">
        <v>65</v>
      </c>
      <c r="H1" s="161"/>
    </row>
    <row r="2" spans="1:11" x14ac:dyDescent="0.2">
      <c r="G2" s="161" t="s">
        <v>25</v>
      </c>
      <c r="H2" s="161"/>
    </row>
    <row r="3" spans="1:11" x14ac:dyDescent="0.2">
      <c r="G3" s="161" t="s">
        <v>26</v>
      </c>
      <c r="H3" s="161"/>
    </row>
    <row r="4" spans="1:11" x14ac:dyDescent="0.2">
      <c r="G4" s="161" t="s">
        <v>170</v>
      </c>
      <c r="H4" s="161"/>
    </row>
    <row r="5" spans="1:11" x14ac:dyDescent="0.2">
      <c r="G5" s="2"/>
      <c r="H5" s="2"/>
    </row>
    <row r="6" spans="1:11" ht="14.45" customHeight="1" x14ac:dyDescent="0.2">
      <c r="A6" s="157" t="s">
        <v>67</v>
      </c>
      <c r="B6" s="157"/>
      <c r="C6" s="157"/>
      <c r="D6" s="157"/>
      <c r="E6" s="157"/>
      <c r="F6" s="157"/>
      <c r="G6" s="157"/>
      <c r="H6" s="157"/>
    </row>
    <row r="8" spans="1:11" s="3" customFormat="1" ht="13.15" customHeight="1" x14ac:dyDescent="0.25">
      <c r="A8" s="152" t="s">
        <v>5</v>
      </c>
      <c r="B8" s="155" t="s">
        <v>0</v>
      </c>
      <c r="C8" s="158" t="s">
        <v>1</v>
      </c>
      <c r="D8" s="158" t="s">
        <v>66</v>
      </c>
      <c r="E8" s="155" t="s">
        <v>3</v>
      </c>
      <c r="F8" s="155"/>
      <c r="G8" s="155"/>
      <c r="H8" s="155" t="s">
        <v>4</v>
      </c>
    </row>
    <row r="9" spans="1:11" s="3" customFormat="1" ht="53.45" customHeight="1" x14ac:dyDescent="0.25">
      <c r="A9" s="153"/>
      <c r="B9" s="155"/>
      <c r="C9" s="159"/>
      <c r="D9" s="159"/>
      <c r="E9" s="6" t="s">
        <v>7</v>
      </c>
      <c r="F9" s="4" t="s">
        <v>6</v>
      </c>
      <c r="G9" s="5" t="s">
        <v>64</v>
      </c>
      <c r="H9" s="155"/>
    </row>
    <row r="10" spans="1:11" s="3" customFormat="1" ht="25.5" x14ac:dyDescent="0.25">
      <c r="A10" s="154"/>
      <c r="B10" s="155"/>
      <c r="C10" s="160"/>
      <c r="D10" s="160"/>
      <c r="E10" s="4" t="s">
        <v>124</v>
      </c>
      <c r="F10" s="50" t="s">
        <v>124</v>
      </c>
      <c r="G10" s="4" t="s">
        <v>31</v>
      </c>
      <c r="H10" s="155"/>
    </row>
    <row r="11" spans="1:11" ht="38.25" x14ac:dyDescent="0.2">
      <c r="A11" s="7">
        <v>1</v>
      </c>
      <c r="B11" s="8" t="s">
        <v>106</v>
      </c>
      <c r="C11" s="4">
        <v>15</v>
      </c>
      <c r="D11" s="64">
        <v>1</v>
      </c>
      <c r="E11" s="24">
        <f>(C11+D11)*15*91</f>
        <v>21840</v>
      </c>
      <c r="F11" s="24"/>
      <c r="G11" s="24"/>
      <c r="H11" s="9">
        <f>E11+G11</f>
        <v>21840</v>
      </c>
    </row>
    <row r="12" spans="1:11" x14ac:dyDescent="0.2">
      <c r="A12" s="7"/>
      <c r="B12" s="10"/>
      <c r="C12" s="25"/>
      <c r="D12" s="25"/>
      <c r="E12" s="26"/>
      <c r="F12" s="26"/>
      <c r="G12" s="26"/>
      <c r="H12" s="9"/>
    </row>
    <row r="13" spans="1:11" x14ac:dyDescent="0.2">
      <c r="A13" s="18"/>
      <c r="B13" s="19" t="s">
        <v>4</v>
      </c>
      <c r="C13" s="27">
        <f t="shared" ref="C13:H13" si="0">C11</f>
        <v>15</v>
      </c>
      <c r="D13" s="27">
        <f t="shared" si="0"/>
        <v>1</v>
      </c>
      <c r="E13" s="28">
        <f t="shared" si="0"/>
        <v>21840</v>
      </c>
      <c r="F13" s="28">
        <f t="shared" si="0"/>
        <v>0</v>
      </c>
      <c r="G13" s="28">
        <f t="shared" si="0"/>
        <v>0</v>
      </c>
      <c r="H13" s="21">
        <f t="shared" si="0"/>
        <v>21840</v>
      </c>
    </row>
    <row r="15" spans="1:11" customFormat="1" ht="15" x14ac:dyDescent="0.25">
      <c r="A15" s="23" t="s">
        <v>29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1" customFormat="1" ht="15" x14ac:dyDescent="0.25">
      <c r="A16" s="23" t="s">
        <v>125</v>
      </c>
      <c r="B16" s="63"/>
      <c r="C16" s="23"/>
      <c r="D16" s="23"/>
      <c r="E16" s="23"/>
      <c r="F16" s="23"/>
      <c r="G16" s="23"/>
      <c r="H16" s="23"/>
      <c r="I16" s="23"/>
      <c r="J16" s="23"/>
      <c r="K16" s="23"/>
    </row>
    <row r="17" spans="1:11" customFormat="1" ht="15" x14ac:dyDescent="0.25">
      <c r="A17" s="23" t="s">
        <v>172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</row>
    <row r="18" spans="1:11" customFormat="1" ht="15" x14ac:dyDescent="0.25">
      <c r="A18" s="23" t="s">
        <v>173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spans="1:11" customFormat="1" ht="15" x14ac:dyDescent="0.25">
      <c r="A19" s="23" t="s">
        <v>30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customFormat="1" ht="15" x14ac:dyDescent="0.25">
      <c r="A20" s="23" t="s">
        <v>62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customFormat="1" ht="15" x14ac:dyDescent="0.25">
      <c r="A21" s="23" t="s">
        <v>63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2">
      <c r="A22" s="23" t="s">
        <v>104</v>
      </c>
    </row>
    <row r="23" spans="1:11" x14ac:dyDescent="0.2">
      <c r="A23" s="23" t="s">
        <v>105</v>
      </c>
    </row>
  </sheetData>
  <mergeCells count="11">
    <mergeCell ref="A6:H6"/>
    <mergeCell ref="C8:C10"/>
    <mergeCell ref="D8:D10"/>
    <mergeCell ref="G1:H1"/>
    <mergeCell ref="G2:H2"/>
    <mergeCell ref="G3:H3"/>
    <mergeCell ref="G4:H4"/>
    <mergeCell ref="A8:A10"/>
    <mergeCell ref="B8:B10"/>
    <mergeCell ref="E8:G8"/>
    <mergeCell ref="H8:H10"/>
  </mergeCells>
  <pageMargins left="0.7" right="0.7" top="0.75" bottom="0.75" header="0.3" footer="0.3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K24"/>
  <sheetViews>
    <sheetView zoomScaleNormal="100" workbookViewId="0">
      <selection activeCell="H22" sqref="H22"/>
    </sheetView>
  </sheetViews>
  <sheetFormatPr defaultRowHeight="12.75" x14ac:dyDescent="0.2"/>
  <cols>
    <col min="1" max="1" width="5.140625" style="23" customWidth="1"/>
    <col min="2" max="2" width="38.85546875" style="23" customWidth="1"/>
    <col min="3" max="4" width="15.28515625" style="23" customWidth="1"/>
    <col min="5" max="5" width="18.7109375" style="23" customWidth="1"/>
    <col min="6" max="7" width="17.5703125" style="23" customWidth="1"/>
    <col min="8" max="8" width="16.85546875" style="23" customWidth="1"/>
    <col min="9" max="257" width="8.85546875" style="23"/>
    <col min="258" max="258" width="5.140625" style="23" customWidth="1"/>
    <col min="259" max="259" width="52.7109375" style="23" customWidth="1"/>
    <col min="260" max="261" width="18.7109375" style="23" customWidth="1"/>
    <col min="262" max="263" width="17.5703125" style="23" customWidth="1"/>
    <col min="264" max="264" width="16.85546875" style="23" customWidth="1"/>
    <col min="265" max="513" width="8.85546875" style="23"/>
    <col min="514" max="514" width="5.140625" style="23" customWidth="1"/>
    <col min="515" max="515" width="52.7109375" style="23" customWidth="1"/>
    <col min="516" max="517" width="18.7109375" style="23" customWidth="1"/>
    <col min="518" max="519" width="17.5703125" style="23" customWidth="1"/>
    <col min="520" max="520" width="16.85546875" style="23" customWidth="1"/>
    <col min="521" max="769" width="8.85546875" style="23"/>
    <col min="770" max="770" width="5.140625" style="23" customWidth="1"/>
    <col min="771" max="771" width="52.7109375" style="23" customWidth="1"/>
    <col min="772" max="773" width="18.7109375" style="23" customWidth="1"/>
    <col min="774" max="775" width="17.5703125" style="23" customWidth="1"/>
    <col min="776" max="776" width="16.85546875" style="23" customWidth="1"/>
    <col min="777" max="1025" width="8.85546875" style="23"/>
    <col min="1026" max="1026" width="5.140625" style="23" customWidth="1"/>
    <col min="1027" max="1027" width="52.7109375" style="23" customWidth="1"/>
    <col min="1028" max="1029" width="18.7109375" style="23" customWidth="1"/>
    <col min="1030" max="1031" width="17.5703125" style="23" customWidth="1"/>
    <col min="1032" max="1032" width="16.85546875" style="23" customWidth="1"/>
    <col min="1033" max="1281" width="8.85546875" style="23"/>
    <col min="1282" max="1282" width="5.140625" style="23" customWidth="1"/>
    <col min="1283" max="1283" width="52.7109375" style="23" customWidth="1"/>
    <col min="1284" max="1285" width="18.7109375" style="23" customWidth="1"/>
    <col min="1286" max="1287" width="17.5703125" style="23" customWidth="1"/>
    <col min="1288" max="1288" width="16.85546875" style="23" customWidth="1"/>
    <col min="1289" max="1537" width="8.85546875" style="23"/>
    <col min="1538" max="1538" width="5.140625" style="23" customWidth="1"/>
    <col min="1539" max="1539" width="52.7109375" style="23" customWidth="1"/>
    <col min="1540" max="1541" width="18.7109375" style="23" customWidth="1"/>
    <col min="1542" max="1543" width="17.5703125" style="23" customWidth="1"/>
    <col min="1544" max="1544" width="16.85546875" style="23" customWidth="1"/>
    <col min="1545" max="1793" width="8.85546875" style="23"/>
    <col min="1794" max="1794" width="5.140625" style="23" customWidth="1"/>
    <col min="1795" max="1795" width="52.7109375" style="23" customWidth="1"/>
    <col min="1796" max="1797" width="18.7109375" style="23" customWidth="1"/>
    <col min="1798" max="1799" width="17.5703125" style="23" customWidth="1"/>
    <col min="1800" max="1800" width="16.85546875" style="23" customWidth="1"/>
    <col min="1801" max="2049" width="8.85546875" style="23"/>
    <col min="2050" max="2050" width="5.140625" style="23" customWidth="1"/>
    <col min="2051" max="2051" width="52.7109375" style="23" customWidth="1"/>
    <col min="2052" max="2053" width="18.7109375" style="23" customWidth="1"/>
    <col min="2054" max="2055" width="17.5703125" style="23" customWidth="1"/>
    <col min="2056" max="2056" width="16.85546875" style="23" customWidth="1"/>
    <col min="2057" max="2305" width="8.85546875" style="23"/>
    <col min="2306" max="2306" width="5.140625" style="23" customWidth="1"/>
    <col min="2307" max="2307" width="52.7109375" style="23" customWidth="1"/>
    <col min="2308" max="2309" width="18.7109375" style="23" customWidth="1"/>
    <col min="2310" max="2311" width="17.5703125" style="23" customWidth="1"/>
    <col min="2312" max="2312" width="16.85546875" style="23" customWidth="1"/>
    <col min="2313" max="2561" width="8.85546875" style="23"/>
    <col min="2562" max="2562" width="5.140625" style="23" customWidth="1"/>
    <col min="2563" max="2563" width="52.7109375" style="23" customWidth="1"/>
    <col min="2564" max="2565" width="18.7109375" style="23" customWidth="1"/>
    <col min="2566" max="2567" width="17.5703125" style="23" customWidth="1"/>
    <col min="2568" max="2568" width="16.85546875" style="23" customWidth="1"/>
    <col min="2569" max="2817" width="8.85546875" style="23"/>
    <col min="2818" max="2818" width="5.140625" style="23" customWidth="1"/>
    <col min="2819" max="2819" width="52.7109375" style="23" customWidth="1"/>
    <col min="2820" max="2821" width="18.7109375" style="23" customWidth="1"/>
    <col min="2822" max="2823" width="17.5703125" style="23" customWidth="1"/>
    <col min="2824" max="2824" width="16.85546875" style="23" customWidth="1"/>
    <col min="2825" max="3073" width="8.85546875" style="23"/>
    <col min="3074" max="3074" width="5.140625" style="23" customWidth="1"/>
    <col min="3075" max="3075" width="52.7109375" style="23" customWidth="1"/>
    <col min="3076" max="3077" width="18.7109375" style="23" customWidth="1"/>
    <col min="3078" max="3079" width="17.5703125" style="23" customWidth="1"/>
    <col min="3080" max="3080" width="16.85546875" style="23" customWidth="1"/>
    <col min="3081" max="3329" width="8.85546875" style="23"/>
    <col min="3330" max="3330" width="5.140625" style="23" customWidth="1"/>
    <col min="3331" max="3331" width="52.7109375" style="23" customWidth="1"/>
    <col min="3332" max="3333" width="18.7109375" style="23" customWidth="1"/>
    <col min="3334" max="3335" width="17.5703125" style="23" customWidth="1"/>
    <col min="3336" max="3336" width="16.85546875" style="23" customWidth="1"/>
    <col min="3337" max="3585" width="8.85546875" style="23"/>
    <col min="3586" max="3586" width="5.140625" style="23" customWidth="1"/>
    <col min="3587" max="3587" width="52.7109375" style="23" customWidth="1"/>
    <col min="3588" max="3589" width="18.7109375" style="23" customWidth="1"/>
    <col min="3590" max="3591" width="17.5703125" style="23" customWidth="1"/>
    <col min="3592" max="3592" width="16.85546875" style="23" customWidth="1"/>
    <col min="3593" max="3841" width="8.85546875" style="23"/>
    <col min="3842" max="3842" width="5.140625" style="23" customWidth="1"/>
    <col min="3843" max="3843" width="52.7109375" style="23" customWidth="1"/>
    <col min="3844" max="3845" width="18.7109375" style="23" customWidth="1"/>
    <col min="3846" max="3847" width="17.5703125" style="23" customWidth="1"/>
    <col min="3848" max="3848" width="16.85546875" style="23" customWidth="1"/>
    <col min="3849" max="4097" width="8.85546875" style="23"/>
    <col min="4098" max="4098" width="5.140625" style="23" customWidth="1"/>
    <col min="4099" max="4099" width="52.7109375" style="23" customWidth="1"/>
    <col min="4100" max="4101" width="18.7109375" style="23" customWidth="1"/>
    <col min="4102" max="4103" width="17.5703125" style="23" customWidth="1"/>
    <col min="4104" max="4104" width="16.85546875" style="23" customWidth="1"/>
    <col min="4105" max="4353" width="8.85546875" style="23"/>
    <col min="4354" max="4354" width="5.140625" style="23" customWidth="1"/>
    <col min="4355" max="4355" width="52.7109375" style="23" customWidth="1"/>
    <col min="4356" max="4357" width="18.7109375" style="23" customWidth="1"/>
    <col min="4358" max="4359" width="17.5703125" style="23" customWidth="1"/>
    <col min="4360" max="4360" width="16.85546875" style="23" customWidth="1"/>
    <col min="4361" max="4609" width="8.85546875" style="23"/>
    <col min="4610" max="4610" width="5.140625" style="23" customWidth="1"/>
    <col min="4611" max="4611" width="52.7109375" style="23" customWidth="1"/>
    <col min="4612" max="4613" width="18.7109375" style="23" customWidth="1"/>
    <col min="4614" max="4615" width="17.5703125" style="23" customWidth="1"/>
    <col min="4616" max="4616" width="16.85546875" style="23" customWidth="1"/>
    <col min="4617" max="4865" width="8.85546875" style="23"/>
    <col min="4866" max="4866" width="5.140625" style="23" customWidth="1"/>
    <col min="4867" max="4867" width="52.7109375" style="23" customWidth="1"/>
    <col min="4868" max="4869" width="18.7109375" style="23" customWidth="1"/>
    <col min="4870" max="4871" width="17.5703125" style="23" customWidth="1"/>
    <col min="4872" max="4872" width="16.85546875" style="23" customWidth="1"/>
    <col min="4873" max="5121" width="8.85546875" style="23"/>
    <col min="5122" max="5122" width="5.140625" style="23" customWidth="1"/>
    <col min="5123" max="5123" width="52.7109375" style="23" customWidth="1"/>
    <col min="5124" max="5125" width="18.7109375" style="23" customWidth="1"/>
    <col min="5126" max="5127" width="17.5703125" style="23" customWidth="1"/>
    <col min="5128" max="5128" width="16.85546875" style="23" customWidth="1"/>
    <col min="5129" max="5377" width="8.85546875" style="23"/>
    <col min="5378" max="5378" width="5.140625" style="23" customWidth="1"/>
    <col min="5379" max="5379" width="52.7109375" style="23" customWidth="1"/>
    <col min="5380" max="5381" width="18.7109375" style="23" customWidth="1"/>
    <col min="5382" max="5383" width="17.5703125" style="23" customWidth="1"/>
    <col min="5384" max="5384" width="16.85546875" style="23" customWidth="1"/>
    <col min="5385" max="5633" width="8.85546875" style="23"/>
    <col min="5634" max="5634" width="5.140625" style="23" customWidth="1"/>
    <col min="5635" max="5635" width="52.7109375" style="23" customWidth="1"/>
    <col min="5636" max="5637" width="18.7109375" style="23" customWidth="1"/>
    <col min="5638" max="5639" width="17.5703125" style="23" customWidth="1"/>
    <col min="5640" max="5640" width="16.85546875" style="23" customWidth="1"/>
    <col min="5641" max="5889" width="8.85546875" style="23"/>
    <col min="5890" max="5890" width="5.140625" style="23" customWidth="1"/>
    <col min="5891" max="5891" width="52.7109375" style="23" customWidth="1"/>
    <col min="5892" max="5893" width="18.7109375" style="23" customWidth="1"/>
    <col min="5894" max="5895" width="17.5703125" style="23" customWidth="1"/>
    <col min="5896" max="5896" width="16.85546875" style="23" customWidth="1"/>
    <col min="5897" max="6145" width="8.85546875" style="23"/>
    <col min="6146" max="6146" width="5.140625" style="23" customWidth="1"/>
    <col min="6147" max="6147" width="52.7109375" style="23" customWidth="1"/>
    <col min="6148" max="6149" width="18.7109375" style="23" customWidth="1"/>
    <col min="6150" max="6151" width="17.5703125" style="23" customWidth="1"/>
    <col min="6152" max="6152" width="16.85546875" style="23" customWidth="1"/>
    <col min="6153" max="6401" width="8.85546875" style="23"/>
    <col min="6402" max="6402" width="5.140625" style="23" customWidth="1"/>
    <col min="6403" max="6403" width="52.7109375" style="23" customWidth="1"/>
    <col min="6404" max="6405" width="18.7109375" style="23" customWidth="1"/>
    <col min="6406" max="6407" width="17.5703125" style="23" customWidth="1"/>
    <col min="6408" max="6408" width="16.85546875" style="23" customWidth="1"/>
    <col min="6409" max="6657" width="8.85546875" style="23"/>
    <col min="6658" max="6658" width="5.140625" style="23" customWidth="1"/>
    <col min="6659" max="6659" width="52.7109375" style="23" customWidth="1"/>
    <col min="6660" max="6661" width="18.7109375" style="23" customWidth="1"/>
    <col min="6662" max="6663" width="17.5703125" style="23" customWidth="1"/>
    <col min="6664" max="6664" width="16.85546875" style="23" customWidth="1"/>
    <col min="6665" max="6913" width="8.85546875" style="23"/>
    <col min="6914" max="6914" width="5.140625" style="23" customWidth="1"/>
    <col min="6915" max="6915" width="52.7109375" style="23" customWidth="1"/>
    <col min="6916" max="6917" width="18.7109375" style="23" customWidth="1"/>
    <col min="6918" max="6919" width="17.5703125" style="23" customWidth="1"/>
    <col min="6920" max="6920" width="16.85546875" style="23" customWidth="1"/>
    <col min="6921" max="7169" width="8.85546875" style="23"/>
    <col min="7170" max="7170" width="5.140625" style="23" customWidth="1"/>
    <col min="7171" max="7171" width="52.7109375" style="23" customWidth="1"/>
    <col min="7172" max="7173" width="18.7109375" style="23" customWidth="1"/>
    <col min="7174" max="7175" width="17.5703125" style="23" customWidth="1"/>
    <col min="7176" max="7176" width="16.85546875" style="23" customWidth="1"/>
    <col min="7177" max="7425" width="8.85546875" style="23"/>
    <col min="7426" max="7426" width="5.140625" style="23" customWidth="1"/>
    <col min="7427" max="7427" width="52.7109375" style="23" customWidth="1"/>
    <col min="7428" max="7429" width="18.7109375" style="23" customWidth="1"/>
    <col min="7430" max="7431" width="17.5703125" style="23" customWidth="1"/>
    <col min="7432" max="7432" width="16.85546875" style="23" customWidth="1"/>
    <col min="7433" max="7681" width="8.85546875" style="23"/>
    <col min="7682" max="7682" width="5.140625" style="23" customWidth="1"/>
    <col min="7683" max="7683" width="52.7109375" style="23" customWidth="1"/>
    <col min="7684" max="7685" width="18.7109375" style="23" customWidth="1"/>
    <col min="7686" max="7687" width="17.5703125" style="23" customWidth="1"/>
    <col min="7688" max="7688" width="16.85546875" style="23" customWidth="1"/>
    <col min="7689" max="7937" width="8.85546875" style="23"/>
    <col min="7938" max="7938" width="5.140625" style="23" customWidth="1"/>
    <col min="7939" max="7939" width="52.7109375" style="23" customWidth="1"/>
    <col min="7940" max="7941" width="18.7109375" style="23" customWidth="1"/>
    <col min="7942" max="7943" width="17.5703125" style="23" customWidth="1"/>
    <col min="7944" max="7944" width="16.85546875" style="23" customWidth="1"/>
    <col min="7945" max="8193" width="8.85546875" style="23"/>
    <col min="8194" max="8194" width="5.140625" style="23" customWidth="1"/>
    <col min="8195" max="8195" width="52.7109375" style="23" customWidth="1"/>
    <col min="8196" max="8197" width="18.7109375" style="23" customWidth="1"/>
    <col min="8198" max="8199" width="17.5703125" style="23" customWidth="1"/>
    <col min="8200" max="8200" width="16.85546875" style="23" customWidth="1"/>
    <col min="8201" max="8449" width="8.85546875" style="23"/>
    <col min="8450" max="8450" width="5.140625" style="23" customWidth="1"/>
    <col min="8451" max="8451" width="52.7109375" style="23" customWidth="1"/>
    <col min="8452" max="8453" width="18.7109375" style="23" customWidth="1"/>
    <col min="8454" max="8455" width="17.5703125" style="23" customWidth="1"/>
    <col min="8456" max="8456" width="16.85546875" style="23" customWidth="1"/>
    <col min="8457" max="8705" width="8.85546875" style="23"/>
    <col min="8706" max="8706" width="5.140625" style="23" customWidth="1"/>
    <col min="8707" max="8707" width="52.7109375" style="23" customWidth="1"/>
    <col min="8708" max="8709" width="18.7109375" style="23" customWidth="1"/>
    <col min="8710" max="8711" width="17.5703125" style="23" customWidth="1"/>
    <col min="8712" max="8712" width="16.85546875" style="23" customWidth="1"/>
    <col min="8713" max="8961" width="8.85546875" style="23"/>
    <col min="8962" max="8962" width="5.140625" style="23" customWidth="1"/>
    <col min="8963" max="8963" width="52.7109375" style="23" customWidth="1"/>
    <col min="8964" max="8965" width="18.7109375" style="23" customWidth="1"/>
    <col min="8966" max="8967" width="17.5703125" style="23" customWidth="1"/>
    <col min="8968" max="8968" width="16.85546875" style="23" customWidth="1"/>
    <col min="8969" max="9217" width="8.85546875" style="23"/>
    <col min="9218" max="9218" width="5.140625" style="23" customWidth="1"/>
    <col min="9219" max="9219" width="52.7109375" style="23" customWidth="1"/>
    <col min="9220" max="9221" width="18.7109375" style="23" customWidth="1"/>
    <col min="9222" max="9223" width="17.5703125" style="23" customWidth="1"/>
    <col min="9224" max="9224" width="16.85546875" style="23" customWidth="1"/>
    <col min="9225" max="9473" width="8.85546875" style="23"/>
    <col min="9474" max="9474" width="5.140625" style="23" customWidth="1"/>
    <col min="9475" max="9475" width="52.7109375" style="23" customWidth="1"/>
    <col min="9476" max="9477" width="18.7109375" style="23" customWidth="1"/>
    <col min="9478" max="9479" width="17.5703125" style="23" customWidth="1"/>
    <col min="9480" max="9480" width="16.85546875" style="23" customWidth="1"/>
    <col min="9481" max="9729" width="8.85546875" style="23"/>
    <col min="9730" max="9730" width="5.140625" style="23" customWidth="1"/>
    <col min="9731" max="9731" width="52.7109375" style="23" customWidth="1"/>
    <col min="9732" max="9733" width="18.7109375" style="23" customWidth="1"/>
    <col min="9734" max="9735" width="17.5703125" style="23" customWidth="1"/>
    <col min="9736" max="9736" width="16.85546875" style="23" customWidth="1"/>
    <col min="9737" max="9985" width="8.85546875" style="23"/>
    <col min="9986" max="9986" width="5.140625" style="23" customWidth="1"/>
    <col min="9987" max="9987" width="52.7109375" style="23" customWidth="1"/>
    <col min="9988" max="9989" width="18.7109375" style="23" customWidth="1"/>
    <col min="9990" max="9991" width="17.5703125" style="23" customWidth="1"/>
    <col min="9992" max="9992" width="16.85546875" style="23" customWidth="1"/>
    <col min="9993" max="10241" width="8.85546875" style="23"/>
    <col min="10242" max="10242" width="5.140625" style="23" customWidth="1"/>
    <col min="10243" max="10243" width="52.7109375" style="23" customWidth="1"/>
    <col min="10244" max="10245" width="18.7109375" style="23" customWidth="1"/>
    <col min="10246" max="10247" width="17.5703125" style="23" customWidth="1"/>
    <col min="10248" max="10248" width="16.85546875" style="23" customWidth="1"/>
    <col min="10249" max="10497" width="8.85546875" style="23"/>
    <col min="10498" max="10498" width="5.140625" style="23" customWidth="1"/>
    <col min="10499" max="10499" width="52.7109375" style="23" customWidth="1"/>
    <col min="10500" max="10501" width="18.7109375" style="23" customWidth="1"/>
    <col min="10502" max="10503" width="17.5703125" style="23" customWidth="1"/>
    <col min="10504" max="10504" width="16.85546875" style="23" customWidth="1"/>
    <col min="10505" max="10753" width="8.85546875" style="23"/>
    <col min="10754" max="10754" width="5.140625" style="23" customWidth="1"/>
    <col min="10755" max="10755" width="52.7109375" style="23" customWidth="1"/>
    <col min="10756" max="10757" width="18.7109375" style="23" customWidth="1"/>
    <col min="10758" max="10759" width="17.5703125" style="23" customWidth="1"/>
    <col min="10760" max="10760" width="16.85546875" style="23" customWidth="1"/>
    <col min="10761" max="11009" width="8.85546875" style="23"/>
    <col min="11010" max="11010" width="5.140625" style="23" customWidth="1"/>
    <col min="11011" max="11011" width="52.7109375" style="23" customWidth="1"/>
    <col min="11012" max="11013" width="18.7109375" style="23" customWidth="1"/>
    <col min="11014" max="11015" width="17.5703125" style="23" customWidth="1"/>
    <col min="11016" max="11016" width="16.85546875" style="23" customWidth="1"/>
    <col min="11017" max="11265" width="8.85546875" style="23"/>
    <col min="11266" max="11266" width="5.140625" style="23" customWidth="1"/>
    <col min="11267" max="11267" width="52.7109375" style="23" customWidth="1"/>
    <col min="11268" max="11269" width="18.7109375" style="23" customWidth="1"/>
    <col min="11270" max="11271" width="17.5703125" style="23" customWidth="1"/>
    <col min="11272" max="11272" width="16.85546875" style="23" customWidth="1"/>
    <col min="11273" max="11521" width="8.85546875" style="23"/>
    <col min="11522" max="11522" width="5.140625" style="23" customWidth="1"/>
    <col min="11523" max="11523" width="52.7109375" style="23" customWidth="1"/>
    <col min="11524" max="11525" width="18.7109375" style="23" customWidth="1"/>
    <col min="11526" max="11527" width="17.5703125" style="23" customWidth="1"/>
    <col min="11528" max="11528" width="16.85546875" style="23" customWidth="1"/>
    <col min="11529" max="11777" width="8.85546875" style="23"/>
    <col min="11778" max="11778" width="5.140625" style="23" customWidth="1"/>
    <col min="11779" max="11779" width="52.7109375" style="23" customWidth="1"/>
    <col min="11780" max="11781" width="18.7109375" style="23" customWidth="1"/>
    <col min="11782" max="11783" width="17.5703125" style="23" customWidth="1"/>
    <col min="11784" max="11784" width="16.85546875" style="23" customWidth="1"/>
    <col min="11785" max="12033" width="8.85546875" style="23"/>
    <col min="12034" max="12034" width="5.140625" style="23" customWidth="1"/>
    <col min="12035" max="12035" width="52.7109375" style="23" customWidth="1"/>
    <col min="12036" max="12037" width="18.7109375" style="23" customWidth="1"/>
    <col min="12038" max="12039" width="17.5703125" style="23" customWidth="1"/>
    <col min="12040" max="12040" width="16.85546875" style="23" customWidth="1"/>
    <col min="12041" max="12289" width="8.85546875" style="23"/>
    <col min="12290" max="12290" width="5.140625" style="23" customWidth="1"/>
    <col min="12291" max="12291" width="52.7109375" style="23" customWidth="1"/>
    <col min="12292" max="12293" width="18.7109375" style="23" customWidth="1"/>
    <col min="12294" max="12295" width="17.5703125" style="23" customWidth="1"/>
    <col min="12296" max="12296" width="16.85546875" style="23" customWidth="1"/>
    <col min="12297" max="12545" width="8.85546875" style="23"/>
    <col min="12546" max="12546" width="5.140625" style="23" customWidth="1"/>
    <col min="12547" max="12547" width="52.7109375" style="23" customWidth="1"/>
    <col min="12548" max="12549" width="18.7109375" style="23" customWidth="1"/>
    <col min="12550" max="12551" width="17.5703125" style="23" customWidth="1"/>
    <col min="12552" max="12552" width="16.85546875" style="23" customWidth="1"/>
    <col min="12553" max="12801" width="8.85546875" style="23"/>
    <col min="12802" max="12802" width="5.140625" style="23" customWidth="1"/>
    <col min="12803" max="12803" width="52.7109375" style="23" customWidth="1"/>
    <col min="12804" max="12805" width="18.7109375" style="23" customWidth="1"/>
    <col min="12806" max="12807" width="17.5703125" style="23" customWidth="1"/>
    <col min="12808" max="12808" width="16.85546875" style="23" customWidth="1"/>
    <col min="12809" max="13057" width="8.85546875" style="23"/>
    <col min="13058" max="13058" width="5.140625" style="23" customWidth="1"/>
    <col min="13059" max="13059" width="52.7109375" style="23" customWidth="1"/>
    <col min="13060" max="13061" width="18.7109375" style="23" customWidth="1"/>
    <col min="13062" max="13063" width="17.5703125" style="23" customWidth="1"/>
    <col min="13064" max="13064" width="16.85546875" style="23" customWidth="1"/>
    <col min="13065" max="13313" width="8.85546875" style="23"/>
    <col min="13314" max="13314" width="5.140625" style="23" customWidth="1"/>
    <col min="13315" max="13315" width="52.7109375" style="23" customWidth="1"/>
    <col min="13316" max="13317" width="18.7109375" style="23" customWidth="1"/>
    <col min="13318" max="13319" width="17.5703125" style="23" customWidth="1"/>
    <col min="13320" max="13320" width="16.85546875" style="23" customWidth="1"/>
    <col min="13321" max="13569" width="8.85546875" style="23"/>
    <col min="13570" max="13570" width="5.140625" style="23" customWidth="1"/>
    <col min="13571" max="13571" width="52.7109375" style="23" customWidth="1"/>
    <col min="13572" max="13573" width="18.7109375" style="23" customWidth="1"/>
    <col min="13574" max="13575" width="17.5703125" style="23" customWidth="1"/>
    <col min="13576" max="13576" width="16.85546875" style="23" customWidth="1"/>
    <col min="13577" max="13825" width="8.85546875" style="23"/>
    <col min="13826" max="13826" width="5.140625" style="23" customWidth="1"/>
    <col min="13827" max="13827" width="52.7109375" style="23" customWidth="1"/>
    <col min="13828" max="13829" width="18.7109375" style="23" customWidth="1"/>
    <col min="13830" max="13831" width="17.5703125" style="23" customWidth="1"/>
    <col min="13832" max="13832" width="16.85546875" style="23" customWidth="1"/>
    <col min="13833" max="14081" width="8.85546875" style="23"/>
    <col min="14082" max="14082" width="5.140625" style="23" customWidth="1"/>
    <col min="14083" max="14083" width="52.7109375" style="23" customWidth="1"/>
    <col min="14084" max="14085" width="18.7109375" style="23" customWidth="1"/>
    <col min="14086" max="14087" width="17.5703125" style="23" customWidth="1"/>
    <col min="14088" max="14088" width="16.85546875" style="23" customWidth="1"/>
    <col min="14089" max="14337" width="8.85546875" style="23"/>
    <col min="14338" max="14338" width="5.140625" style="23" customWidth="1"/>
    <col min="14339" max="14339" width="52.7109375" style="23" customWidth="1"/>
    <col min="14340" max="14341" width="18.7109375" style="23" customWidth="1"/>
    <col min="14342" max="14343" width="17.5703125" style="23" customWidth="1"/>
    <col min="14344" max="14344" width="16.85546875" style="23" customWidth="1"/>
    <col min="14345" max="14593" width="8.85546875" style="23"/>
    <col min="14594" max="14594" width="5.140625" style="23" customWidth="1"/>
    <col min="14595" max="14595" width="52.7109375" style="23" customWidth="1"/>
    <col min="14596" max="14597" width="18.7109375" style="23" customWidth="1"/>
    <col min="14598" max="14599" width="17.5703125" style="23" customWidth="1"/>
    <col min="14600" max="14600" width="16.85546875" style="23" customWidth="1"/>
    <col min="14601" max="14849" width="8.85546875" style="23"/>
    <col min="14850" max="14850" width="5.140625" style="23" customWidth="1"/>
    <col min="14851" max="14851" width="52.7109375" style="23" customWidth="1"/>
    <col min="14852" max="14853" width="18.7109375" style="23" customWidth="1"/>
    <col min="14854" max="14855" width="17.5703125" style="23" customWidth="1"/>
    <col min="14856" max="14856" width="16.85546875" style="23" customWidth="1"/>
    <col min="14857" max="15105" width="8.85546875" style="23"/>
    <col min="15106" max="15106" width="5.140625" style="23" customWidth="1"/>
    <col min="15107" max="15107" width="52.7109375" style="23" customWidth="1"/>
    <col min="15108" max="15109" width="18.7109375" style="23" customWidth="1"/>
    <col min="15110" max="15111" width="17.5703125" style="23" customWidth="1"/>
    <col min="15112" max="15112" width="16.85546875" style="23" customWidth="1"/>
    <col min="15113" max="15361" width="8.85546875" style="23"/>
    <col min="15362" max="15362" width="5.140625" style="23" customWidth="1"/>
    <col min="15363" max="15363" width="52.7109375" style="23" customWidth="1"/>
    <col min="15364" max="15365" width="18.7109375" style="23" customWidth="1"/>
    <col min="15366" max="15367" width="17.5703125" style="23" customWidth="1"/>
    <col min="15368" max="15368" width="16.85546875" style="23" customWidth="1"/>
    <col min="15369" max="15617" width="8.85546875" style="23"/>
    <col min="15618" max="15618" width="5.140625" style="23" customWidth="1"/>
    <col min="15619" max="15619" width="52.7109375" style="23" customWidth="1"/>
    <col min="15620" max="15621" width="18.7109375" style="23" customWidth="1"/>
    <col min="15622" max="15623" width="17.5703125" style="23" customWidth="1"/>
    <col min="15624" max="15624" width="16.85546875" style="23" customWidth="1"/>
    <col min="15625" max="15873" width="8.85546875" style="23"/>
    <col min="15874" max="15874" width="5.140625" style="23" customWidth="1"/>
    <col min="15875" max="15875" width="52.7109375" style="23" customWidth="1"/>
    <col min="15876" max="15877" width="18.7109375" style="23" customWidth="1"/>
    <col min="15878" max="15879" width="17.5703125" style="23" customWidth="1"/>
    <col min="15880" max="15880" width="16.85546875" style="23" customWidth="1"/>
    <col min="15881" max="16129" width="8.85546875" style="23"/>
    <col min="16130" max="16130" width="5.140625" style="23" customWidth="1"/>
    <col min="16131" max="16131" width="52.7109375" style="23" customWidth="1"/>
    <col min="16132" max="16133" width="18.7109375" style="23" customWidth="1"/>
    <col min="16134" max="16135" width="17.5703125" style="23" customWidth="1"/>
    <col min="16136" max="16136" width="16.85546875" style="23" customWidth="1"/>
    <col min="16137" max="16384" width="8.85546875" style="23"/>
  </cols>
  <sheetData>
    <row r="1" spans="1:11" x14ac:dyDescent="0.2">
      <c r="G1" s="139" t="s">
        <v>174</v>
      </c>
      <c r="H1" s="139"/>
    </row>
    <row r="2" spans="1:11" x14ac:dyDescent="0.2">
      <c r="G2" s="139" t="s">
        <v>25</v>
      </c>
      <c r="H2" s="139"/>
    </row>
    <row r="3" spans="1:11" x14ac:dyDescent="0.2">
      <c r="G3" s="139" t="s">
        <v>26</v>
      </c>
      <c r="H3" s="139"/>
    </row>
    <row r="4" spans="1:11" x14ac:dyDescent="0.2">
      <c r="G4" s="139" t="s">
        <v>170</v>
      </c>
      <c r="H4" s="139"/>
    </row>
    <row r="5" spans="1:11" x14ac:dyDescent="0.2">
      <c r="G5" s="48"/>
      <c r="H5" s="48"/>
    </row>
    <row r="6" spans="1:11" x14ac:dyDescent="0.2">
      <c r="A6" s="157" t="s">
        <v>109</v>
      </c>
      <c r="B6" s="157"/>
      <c r="C6" s="157"/>
      <c r="D6" s="157"/>
      <c r="E6" s="157"/>
      <c r="F6" s="157"/>
      <c r="G6" s="157"/>
      <c r="H6" s="157"/>
    </row>
    <row r="8" spans="1:11" s="3" customFormat="1" ht="13.15" customHeight="1" x14ac:dyDescent="0.25">
      <c r="A8" s="152" t="s">
        <v>5</v>
      </c>
      <c r="B8" s="155" t="s">
        <v>0</v>
      </c>
      <c r="C8" s="158" t="s">
        <v>1</v>
      </c>
      <c r="D8" s="158" t="s">
        <v>66</v>
      </c>
      <c r="E8" s="165" t="s">
        <v>3</v>
      </c>
      <c r="F8" s="166"/>
      <c r="G8" s="167"/>
      <c r="H8" s="155" t="s">
        <v>4</v>
      </c>
    </row>
    <row r="9" spans="1:11" s="3" customFormat="1" ht="38.25" x14ac:dyDescent="0.25">
      <c r="A9" s="153"/>
      <c r="B9" s="155"/>
      <c r="C9" s="159"/>
      <c r="D9" s="159"/>
      <c r="E9" s="49" t="s">
        <v>7</v>
      </c>
      <c r="F9" s="50" t="s">
        <v>6</v>
      </c>
      <c r="G9" s="134" t="s">
        <v>64</v>
      </c>
      <c r="H9" s="155"/>
    </row>
    <row r="10" spans="1:11" s="3" customFormat="1" ht="25.5" x14ac:dyDescent="0.25">
      <c r="A10" s="154"/>
      <c r="B10" s="155"/>
      <c r="C10" s="160"/>
      <c r="D10" s="160"/>
      <c r="E10" s="50" t="s">
        <v>68</v>
      </c>
      <c r="F10" s="50" t="s">
        <v>68</v>
      </c>
      <c r="G10" s="136"/>
      <c r="H10" s="155"/>
    </row>
    <row r="11" spans="1:11" s="3" customFormat="1" x14ac:dyDescent="0.25">
      <c r="A11" s="162" t="s">
        <v>56</v>
      </c>
      <c r="B11" s="163"/>
      <c r="C11" s="163"/>
      <c r="D11" s="163"/>
      <c r="E11" s="163"/>
      <c r="F11" s="163"/>
      <c r="G11" s="163"/>
      <c r="H11" s="164"/>
    </row>
    <row r="12" spans="1:11" ht="38.25" x14ac:dyDescent="0.2">
      <c r="A12" s="7">
        <v>1</v>
      </c>
      <c r="B12" s="8" t="s">
        <v>107</v>
      </c>
      <c r="C12" s="50">
        <v>12</v>
      </c>
      <c r="D12" s="64">
        <v>1</v>
      </c>
      <c r="E12" s="24">
        <f>(C12+D12)*91*5</f>
        <v>5915</v>
      </c>
      <c r="F12" s="24"/>
      <c r="G12" s="24"/>
      <c r="H12" s="9">
        <f>E12+F12+G12</f>
        <v>5915</v>
      </c>
    </row>
    <row r="13" spans="1:11" x14ac:dyDescent="0.2">
      <c r="A13" s="7"/>
      <c r="B13" s="10"/>
      <c r="C13" s="25"/>
      <c r="D13" s="25"/>
      <c r="E13" s="26"/>
      <c r="F13" s="26"/>
      <c r="G13" s="26"/>
      <c r="H13" s="9"/>
    </row>
    <row r="14" spans="1:11" x14ac:dyDescent="0.2">
      <c r="A14" s="18"/>
      <c r="B14" s="19" t="s">
        <v>4</v>
      </c>
      <c r="C14" s="27">
        <f t="shared" ref="C14:H14" si="0">C12</f>
        <v>12</v>
      </c>
      <c r="D14" s="27">
        <f t="shared" si="0"/>
        <v>1</v>
      </c>
      <c r="E14" s="28">
        <f t="shared" si="0"/>
        <v>5915</v>
      </c>
      <c r="F14" s="28">
        <f t="shared" si="0"/>
        <v>0</v>
      </c>
      <c r="G14" s="28">
        <f t="shared" si="0"/>
        <v>0</v>
      </c>
      <c r="H14" s="21">
        <f t="shared" si="0"/>
        <v>5915</v>
      </c>
    </row>
    <row r="16" spans="1:11" customFormat="1" ht="15" x14ac:dyDescent="0.25">
      <c r="A16" s="23" t="s">
        <v>29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1" customFormat="1" ht="15" x14ac:dyDescent="0.25">
      <c r="A17" s="23" t="s">
        <v>110</v>
      </c>
      <c r="B17" s="63"/>
      <c r="C17" s="23"/>
      <c r="D17" s="23"/>
      <c r="E17" s="23"/>
      <c r="F17" s="23"/>
      <c r="G17" s="23"/>
      <c r="H17" s="23"/>
      <c r="I17" s="23"/>
      <c r="J17" s="23"/>
      <c r="K17" s="23"/>
    </row>
    <row r="18" spans="1:11" customFormat="1" ht="15" x14ac:dyDescent="0.25">
      <c r="A18" s="23" t="s">
        <v>175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spans="1:11" customFormat="1" ht="15" x14ac:dyDescent="0.25">
      <c r="A19" s="23" t="s">
        <v>176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customFormat="1" ht="15" x14ac:dyDescent="0.25">
      <c r="A20" s="23" t="s">
        <v>30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customFormat="1" ht="15" x14ac:dyDescent="0.25">
      <c r="A21" s="23" t="s">
        <v>62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customFormat="1" ht="15" x14ac:dyDescent="0.25">
      <c r="A22" s="23" t="s">
        <v>63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x14ac:dyDescent="0.2">
      <c r="A23" s="23" t="s">
        <v>104</v>
      </c>
    </row>
    <row r="24" spans="1:11" x14ac:dyDescent="0.2">
      <c r="A24" s="23" t="s">
        <v>108</v>
      </c>
    </row>
  </sheetData>
  <mergeCells count="13">
    <mergeCell ref="A11:H11"/>
    <mergeCell ref="D8:D10"/>
    <mergeCell ref="G1:H1"/>
    <mergeCell ref="G2:H2"/>
    <mergeCell ref="G3:H3"/>
    <mergeCell ref="G4:H4"/>
    <mergeCell ref="A6:H6"/>
    <mergeCell ref="A8:A10"/>
    <mergeCell ref="B8:B10"/>
    <mergeCell ref="C8:C10"/>
    <mergeCell ref="E8:G8"/>
    <mergeCell ref="H8:H10"/>
    <mergeCell ref="G9:G10"/>
  </mergeCells>
  <pageMargins left="0.7" right="0.7" top="0.75" bottom="0.75" header="0.3" footer="0.3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K24"/>
  <sheetViews>
    <sheetView zoomScaleNormal="100" workbookViewId="0">
      <selection activeCell="D29" sqref="D29"/>
    </sheetView>
  </sheetViews>
  <sheetFormatPr defaultRowHeight="12.75" x14ac:dyDescent="0.2"/>
  <cols>
    <col min="1" max="1" width="5.140625" style="23" customWidth="1"/>
    <col min="2" max="2" width="40.42578125" style="23" customWidth="1"/>
    <col min="3" max="4" width="15.28515625" style="23" customWidth="1"/>
    <col min="5" max="5" width="18.7109375" style="23" customWidth="1"/>
    <col min="6" max="7" width="17.5703125" style="23" customWidth="1"/>
    <col min="8" max="8" width="16.85546875" style="23" customWidth="1"/>
    <col min="9" max="257" width="8.85546875" style="23"/>
    <col min="258" max="258" width="5.140625" style="23" customWidth="1"/>
    <col min="259" max="259" width="52.7109375" style="23" customWidth="1"/>
    <col min="260" max="261" width="18.7109375" style="23" customWidth="1"/>
    <col min="262" max="263" width="17.5703125" style="23" customWidth="1"/>
    <col min="264" max="264" width="16.85546875" style="23" customWidth="1"/>
    <col min="265" max="513" width="8.85546875" style="23"/>
    <col min="514" max="514" width="5.140625" style="23" customWidth="1"/>
    <col min="515" max="515" width="52.7109375" style="23" customWidth="1"/>
    <col min="516" max="517" width="18.7109375" style="23" customWidth="1"/>
    <col min="518" max="519" width="17.5703125" style="23" customWidth="1"/>
    <col min="520" max="520" width="16.85546875" style="23" customWidth="1"/>
    <col min="521" max="769" width="8.85546875" style="23"/>
    <col min="770" max="770" width="5.140625" style="23" customWidth="1"/>
    <col min="771" max="771" width="52.7109375" style="23" customWidth="1"/>
    <col min="772" max="773" width="18.7109375" style="23" customWidth="1"/>
    <col min="774" max="775" width="17.5703125" style="23" customWidth="1"/>
    <col min="776" max="776" width="16.85546875" style="23" customWidth="1"/>
    <col min="777" max="1025" width="8.85546875" style="23"/>
    <col min="1026" max="1026" width="5.140625" style="23" customWidth="1"/>
    <col min="1027" max="1027" width="52.7109375" style="23" customWidth="1"/>
    <col min="1028" max="1029" width="18.7109375" style="23" customWidth="1"/>
    <col min="1030" max="1031" width="17.5703125" style="23" customWidth="1"/>
    <col min="1032" max="1032" width="16.85546875" style="23" customWidth="1"/>
    <col min="1033" max="1281" width="8.85546875" style="23"/>
    <col min="1282" max="1282" width="5.140625" style="23" customWidth="1"/>
    <col min="1283" max="1283" width="52.7109375" style="23" customWidth="1"/>
    <col min="1284" max="1285" width="18.7109375" style="23" customWidth="1"/>
    <col min="1286" max="1287" width="17.5703125" style="23" customWidth="1"/>
    <col min="1288" max="1288" width="16.85546875" style="23" customWidth="1"/>
    <col min="1289" max="1537" width="8.85546875" style="23"/>
    <col min="1538" max="1538" width="5.140625" style="23" customWidth="1"/>
    <col min="1539" max="1539" width="52.7109375" style="23" customWidth="1"/>
    <col min="1540" max="1541" width="18.7109375" style="23" customWidth="1"/>
    <col min="1542" max="1543" width="17.5703125" style="23" customWidth="1"/>
    <col min="1544" max="1544" width="16.85546875" style="23" customWidth="1"/>
    <col min="1545" max="1793" width="8.85546875" style="23"/>
    <col min="1794" max="1794" width="5.140625" style="23" customWidth="1"/>
    <col min="1795" max="1795" width="52.7109375" style="23" customWidth="1"/>
    <col min="1796" max="1797" width="18.7109375" style="23" customWidth="1"/>
    <col min="1798" max="1799" width="17.5703125" style="23" customWidth="1"/>
    <col min="1800" max="1800" width="16.85546875" style="23" customWidth="1"/>
    <col min="1801" max="2049" width="8.85546875" style="23"/>
    <col min="2050" max="2050" width="5.140625" style="23" customWidth="1"/>
    <col min="2051" max="2051" width="52.7109375" style="23" customWidth="1"/>
    <col min="2052" max="2053" width="18.7109375" style="23" customWidth="1"/>
    <col min="2054" max="2055" width="17.5703125" style="23" customWidth="1"/>
    <col min="2056" max="2056" width="16.85546875" style="23" customWidth="1"/>
    <col min="2057" max="2305" width="8.85546875" style="23"/>
    <col min="2306" max="2306" width="5.140625" style="23" customWidth="1"/>
    <col min="2307" max="2307" width="52.7109375" style="23" customWidth="1"/>
    <col min="2308" max="2309" width="18.7109375" style="23" customWidth="1"/>
    <col min="2310" max="2311" width="17.5703125" style="23" customWidth="1"/>
    <col min="2312" max="2312" width="16.85546875" style="23" customWidth="1"/>
    <col min="2313" max="2561" width="8.85546875" style="23"/>
    <col min="2562" max="2562" width="5.140625" style="23" customWidth="1"/>
    <col min="2563" max="2563" width="52.7109375" style="23" customWidth="1"/>
    <col min="2564" max="2565" width="18.7109375" style="23" customWidth="1"/>
    <col min="2566" max="2567" width="17.5703125" style="23" customWidth="1"/>
    <col min="2568" max="2568" width="16.85546875" style="23" customWidth="1"/>
    <col min="2569" max="2817" width="8.85546875" style="23"/>
    <col min="2818" max="2818" width="5.140625" style="23" customWidth="1"/>
    <col min="2819" max="2819" width="52.7109375" style="23" customWidth="1"/>
    <col min="2820" max="2821" width="18.7109375" style="23" customWidth="1"/>
    <col min="2822" max="2823" width="17.5703125" style="23" customWidth="1"/>
    <col min="2824" max="2824" width="16.85546875" style="23" customWidth="1"/>
    <col min="2825" max="3073" width="8.85546875" style="23"/>
    <col min="3074" max="3074" width="5.140625" style="23" customWidth="1"/>
    <col min="3075" max="3075" width="52.7109375" style="23" customWidth="1"/>
    <col min="3076" max="3077" width="18.7109375" style="23" customWidth="1"/>
    <col min="3078" max="3079" width="17.5703125" style="23" customWidth="1"/>
    <col min="3080" max="3080" width="16.85546875" style="23" customWidth="1"/>
    <col min="3081" max="3329" width="8.85546875" style="23"/>
    <col min="3330" max="3330" width="5.140625" style="23" customWidth="1"/>
    <col min="3331" max="3331" width="52.7109375" style="23" customWidth="1"/>
    <col min="3332" max="3333" width="18.7109375" style="23" customWidth="1"/>
    <col min="3334" max="3335" width="17.5703125" style="23" customWidth="1"/>
    <col min="3336" max="3336" width="16.85546875" style="23" customWidth="1"/>
    <col min="3337" max="3585" width="8.85546875" style="23"/>
    <col min="3586" max="3586" width="5.140625" style="23" customWidth="1"/>
    <col min="3587" max="3587" width="52.7109375" style="23" customWidth="1"/>
    <col min="3588" max="3589" width="18.7109375" style="23" customWidth="1"/>
    <col min="3590" max="3591" width="17.5703125" style="23" customWidth="1"/>
    <col min="3592" max="3592" width="16.85546875" style="23" customWidth="1"/>
    <col min="3593" max="3841" width="8.85546875" style="23"/>
    <col min="3842" max="3842" width="5.140625" style="23" customWidth="1"/>
    <col min="3843" max="3843" width="52.7109375" style="23" customWidth="1"/>
    <col min="3844" max="3845" width="18.7109375" style="23" customWidth="1"/>
    <col min="3846" max="3847" width="17.5703125" style="23" customWidth="1"/>
    <col min="3848" max="3848" width="16.85546875" style="23" customWidth="1"/>
    <col min="3849" max="4097" width="8.85546875" style="23"/>
    <col min="4098" max="4098" width="5.140625" style="23" customWidth="1"/>
    <col min="4099" max="4099" width="52.7109375" style="23" customWidth="1"/>
    <col min="4100" max="4101" width="18.7109375" style="23" customWidth="1"/>
    <col min="4102" max="4103" width="17.5703125" style="23" customWidth="1"/>
    <col min="4104" max="4104" width="16.85546875" style="23" customWidth="1"/>
    <col min="4105" max="4353" width="8.85546875" style="23"/>
    <col min="4354" max="4354" width="5.140625" style="23" customWidth="1"/>
    <col min="4355" max="4355" width="52.7109375" style="23" customWidth="1"/>
    <col min="4356" max="4357" width="18.7109375" style="23" customWidth="1"/>
    <col min="4358" max="4359" width="17.5703125" style="23" customWidth="1"/>
    <col min="4360" max="4360" width="16.85546875" style="23" customWidth="1"/>
    <col min="4361" max="4609" width="8.85546875" style="23"/>
    <col min="4610" max="4610" width="5.140625" style="23" customWidth="1"/>
    <col min="4611" max="4611" width="52.7109375" style="23" customWidth="1"/>
    <col min="4612" max="4613" width="18.7109375" style="23" customWidth="1"/>
    <col min="4614" max="4615" width="17.5703125" style="23" customWidth="1"/>
    <col min="4616" max="4616" width="16.85546875" style="23" customWidth="1"/>
    <col min="4617" max="4865" width="8.85546875" style="23"/>
    <col min="4866" max="4866" width="5.140625" style="23" customWidth="1"/>
    <col min="4867" max="4867" width="52.7109375" style="23" customWidth="1"/>
    <col min="4868" max="4869" width="18.7109375" style="23" customWidth="1"/>
    <col min="4870" max="4871" width="17.5703125" style="23" customWidth="1"/>
    <col min="4872" max="4872" width="16.85546875" style="23" customWidth="1"/>
    <col min="4873" max="5121" width="8.85546875" style="23"/>
    <col min="5122" max="5122" width="5.140625" style="23" customWidth="1"/>
    <col min="5123" max="5123" width="52.7109375" style="23" customWidth="1"/>
    <col min="5124" max="5125" width="18.7109375" style="23" customWidth="1"/>
    <col min="5126" max="5127" width="17.5703125" style="23" customWidth="1"/>
    <col min="5128" max="5128" width="16.85546875" style="23" customWidth="1"/>
    <col min="5129" max="5377" width="8.85546875" style="23"/>
    <col min="5378" max="5378" width="5.140625" style="23" customWidth="1"/>
    <col min="5379" max="5379" width="52.7109375" style="23" customWidth="1"/>
    <col min="5380" max="5381" width="18.7109375" style="23" customWidth="1"/>
    <col min="5382" max="5383" width="17.5703125" style="23" customWidth="1"/>
    <col min="5384" max="5384" width="16.85546875" style="23" customWidth="1"/>
    <col min="5385" max="5633" width="8.85546875" style="23"/>
    <col min="5634" max="5634" width="5.140625" style="23" customWidth="1"/>
    <col min="5635" max="5635" width="52.7109375" style="23" customWidth="1"/>
    <col min="5636" max="5637" width="18.7109375" style="23" customWidth="1"/>
    <col min="5638" max="5639" width="17.5703125" style="23" customWidth="1"/>
    <col min="5640" max="5640" width="16.85546875" style="23" customWidth="1"/>
    <col min="5641" max="5889" width="8.85546875" style="23"/>
    <col min="5890" max="5890" width="5.140625" style="23" customWidth="1"/>
    <col min="5891" max="5891" width="52.7109375" style="23" customWidth="1"/>
    <col min="5892" max="5893" width="18.7109375" style="23" customWidth="1"/>
    <col min="5894" max="5895" width="17.5703125" style="23" customWidth="1"/>
    <col min="5896" max="5896" width="16.85546875" style="23" customWidth="1"/>
    <col min="5897" max="6145" width="8.85546875" style="23"/>
    <col min="6146" max="6146" width="5.140625" style="23" customWidth="1"/>
    <col min="6147" max="6147" width="52.7109375" style="23" customWidth="1"/>
    <col min="6148" max="6149" width="18.7109375" style="23" customWidth="1"/>
    <col min="6150" max="6151" width="17.5703125" style="23" customWidth="1"/>
    <col min="6152" max="6152" width="16.85546875" style="23" customWidth="1"/>
    <col min="6153" max="6401" width="8.85546875" style="23"/>
    <col min="6402" max="6402" width="5.140625" style="23" customWidth="1"/>
    <col min="6403" max="6403" width="52.7109375" style="23" customWidth="1"/>
    <col min="6404" max="6405" width="18.7109375" style="23" customWidth="1"/>
    <col min="6406" max="6407" width="17.5703125" style="23" customWidth="1"/>
    <col min="6408" max="6408" width="16.85546875" style="23" customWidth="1"/>
    <col min="6409" max="6657" width="8.85546875" style="23"/>
    <col min="6658" max="6658" width="5.140625" style="23" customWidth="1"/>
    <col min="6659" max="6659" width="52.7109375" style="23" customWidth="1"/>
    <col min="6660" max="6661" width="18.7109375" style="23" customWidth="1"/>
    <col min="6662" max="6663" width="17.5703125" style="23" customWidth="1"/>
    <col min="6664" max="6664" width="16.85546875" style="23" customWidth="1"/>
    <col min="6665" max="6913" width="8.85546875" style="23"/>
    <col min="6914" max="6914" width="5.140625" style="23" customWidth="1"/>
    <col min="6915" max="6915" width="52.7109375" style="23" customWidth="1"/>
    <col min="6916" max="6917" width="18.7109375" style="23" customWidth="1"/>
    <col min="6918" max="6919" width="17.5703125" style="23" customWidth="1"/>
    <col min="6920" max="6920" width="16.85546875" style="23" customWidth="1"/>
    <col min="6921" max="7169" width="8.85546875" style="23"/>
    <col min="7170" max="7170" width="5.140625" style="23" customWidth="1"/>
    <col min="7171" max="7171" width="52.7109375" style="23" customWidth="1"/>
    <col min="7172" max="7173" width="18.7109375" style="23" customWidth="1"/>
    <col min="7174" max="7175" width="17.5703125" style="23" customWidth="1"/>
    <col min="7176" max="7176" width="16.85546875" style="23" customWidth="1"/>
    <col min="7177" max="7425" width="8.85546875" style="23"/>
    <col min="7426" max="7426" width="5.140625" style="23" customWidth="1"/>
    <col min="7427" max="7427" width="52.7109375" style="23" customWidth="1"/>
    <col min="7428" max="7429" width="18.7109375" style="23" customWidth="1"/>
    <col min="7430" max="7431" width="17.5703125" style="23" customWidth="1"/>
    <col min="7432" max="7432" width="16.85546875" style="23" customWidth="1"/>
    <col min="7433" max="7681" width="8.85546875" style="23"/>
    <col min="7682" max="7682" width="5.140625" style="23" customWidth="1"/>
    <col min="7683" max="7683" width="52.7109375" style="23" customWidth="1"/>
    <col min="7684" max="7685" width="18.7109375" style="23" customWidth="1"/>
    <col min="7686" max="7687" width="17.5703125" style="23" customWidth="1"/>
    <col min="7688" max="7688" width="16.85546875" style="23" customWidth="1"/>
    <col min="7689" max="7937" width="8.85546875" style="23"/>
    <col min="7938" max="7938" width="5.140625" style="23" customWidth="1"/>
    <col min="7939" max="7939" width="52.7109375" style="23" customWidth="1"/>
    <col min="7940" max="7941" width="18.7109375" style="23" customWidth="1"/>
    <col min="7942" max="7943" width="17.5703125" style="23" customWidth="1"/>
    <col min="7944" max="7944" width="16.85546875" style="23" customWidth="1"/>
    <col min="7945" max="8193" width="8.85546875" style="23"/>
    <col min="8194" max="8194" width="5.140625" style="23" customWidth="1"/>
    <col min="8195" max="8195" width="52.7109375" style="23" customWidth="1"/>
    <col min="8196" max="8197" width="18.7109375" style="23" customWidth="1"/>
    <col min="8198" max="8199" width="17.5703125" style="23" customWidth="1"/>
    <col min="8200" max="8200" width="16.85546875" style="23" customWidth="1"/>
    <col min="8201" max="8449" width="8.85546875" style="23"/>
    <col min="8450" max="8450" width="5.140625" style="23" customWidth="1"/>
    <col min="8451" max="8451" width="52.7109375" style="23" customWidth="1"/>
    <col min="8452" max="8453" width="18.7109375" style="23" customWidth="1"/>
    <col min="8454" max="8455" width="17.5703125" style="23" customWidth="1"/>
    <col min="8456" max="8456" width="16.85546875" style="23" customWidth="1"/>
    <col min="8457" max="8705" width="8.85546875" style="23"/>
    <col min="8706" max="8706" width="5.140625" style="23" customWidth="1"/>
    <col min="8707" max="8707" width="52.7109375" style="23" customWidth="1"/>
    <col min="8708" max="8709" width="18.7109375" style="23" customWidth="1"/>
    <col min="8710" max="8711" width="17.5703125" style="23" customWidth="1"/>
    <col min="8712" max="8712" width="16.85546875" style="23" customWidth="1"/>
    <col min="8713" max="8961" width="8.85546875" style="23"/>
    <col min="8962" max="8962" width="5.140625" style="23" customWidth="1"/>
    <col min="8963" max="8963" width="52.7109375" style="23" customWidth="1"/>
    <col min="8964" max="8965" width="18.7109375" style="23" customWidth="1"/>
    <col min="8966" max="8967" width="17.5703125" style="23" customWidth="1"/>
    <col min="8968" max="8968" width="16.85546875" style="23" customWidth="1"/>
    <col min="8969" max="9217" width="8.85546875" style="23"/>
    <col min="9218" max="9218" width="5.140625" style="23" customWidth="1"/>
    <col min="9219" max="9219" width="52.7109375" style="23" customWidth="1"/>
    <col min="9220" max="9221" width="18.7109375" style="23" customWidth="1"/>
    <col min="9222" max="9223" width="17.5703125" style="23" customWidth="1"/>
    <col min="9224" max="9224" width="16.85546875" style="23" customWidth="1"/>
    <col min="9225" max="9473" width="8.85546875" style="23"/>
    <col min="9474" max="9474" width="5.140625" style="23" customWidth="1"/>
    <col min="9475" max="9475" width="52.7109375" style="23" customWidth="1"/>
    <col min="9476" max="9477" width="18.7109375" style="23" customWidth="1"/>
    <col min="9478" max="9479" width="17.5703125" style="23" customWidth="1"/>
    <col min="9480" max="9480" width="16.85546875" style="23" customWidth="1"/>
    <col min="9481" max="9729" width="8.85546875" style="23"/>
    <col min="9730" max="9730" width="5.140625" style="23" customWidth="1"/>
    <col min="9731" max="9731" width="52.7109375" style="23" customWidth="1"/>
    <col min="9732" max="9733" width="18.7109375" style="23" customWidth="1"/>
    <col min="9734" max="9735" width="17.5703125" style="23" customWidth="1"/>
    <col min="9736" max="9736" width="16.85546875" style="23" customWidth="1"/>
    <col min="9737" max="9985" width="8.85546875" style="23"/>
    <col min="9986" max="9986" width="5.140625" style="23" customWidth="1"/>
    <col min="9987" max="9987" width="52.7109375" style="23" customWidth="1"/>
    <col min="9988" max="9989" width="18.7109375" style="23" customWidth="1"/>
    <col min="9990" max="9991" width="17.5703125" style="23" customWidth="1"/>
    <col min="9992" max="9992" width="16.85546875" style="23" customWidth="1"/>
    <col min="9993" max="10241" width="8.85546875" style="23"/>
    <col min="10242" max="10242" width="5.140625" style="23" customWidth="1"/>
    <col min="10243" max="10243" width="52.7109375" style="23" customWidth="1"/>
    <col min="10244" max="10245" width="18.7109375" style="23" customWidth="1"/>
    <col min="10246" max="10247" width="17.5703125" style="23" customWidth="1"/>
    <col min="10248" max="10248" width="16.85546875" style="23" customWidth="1"/>
    <col min="10249" max="10497" width="8.85546875" style="23"/>
    <col min="10498" max="10498" width="5.140625" style="23" customWidth="1"/>
    <col min="10499" max="10499" width="52.7109375" style="23" customWidth="1"/>
    <col min="10500" max="10501" width="18.7109375" style="23" customWidth="1"/>
    <col min="10502" max="10503" width="17.5703125" style="23" customWidth="1"/>
    <col min="10504" max="10504" width="16.85546875" style="23" customWidth="1"/>
    <col min="10505" max="10753" width="8.85546875" style="23"/>
    <col min="10754" max="10754" width="5.140625" style="23" customWidth="1"/>
    <col min="10755" max="10755" width="52.7109375" style="23" customWidth="1"/>
    <col min="10756" max="10757" width="18.7109375" style="23" customWidth="1"/>
    <col min="10758" max="10759" width="17.5703125" style="23" customWidth="1"/>
    <col min="10760" max="10760" width="16.85546875" style="23" customWidth="1"/>
    <col min="10761" max="11009" width="8.85546875" style="23"/>
    <col min="11010" max="11010" width="5.140625" style="23" customWidth="1"/>
    <col min="11011" max="11011" width="52.7109375" style="23" customWidth="1"/>
    <col min="11012" max="11013" width="18.7109375" style="23" customWidth="1"/>
    <col min="11014" max="11015" width="17.5703125" style="23" customWidth="1"/>
    <col min="11016" max="11016" width="16.85546875" style="23" customWidth="1"/>
    <col min="11017" max="11265" width="8.85546875" style="23"/>
    <col min="11266" max="11266" width="5.140625" style="23" customWidth="1"/>
    <col min="11267" max="11267" width="52.7109375" style="23" customWidth="1"/>
    <col min="11268" max="11269" width="18.7109375" style="23" customWidth="1"/>
    <col min="11270" max="11271" width="17.5703125" style="23" customWidth="1"/>
    <col min="11272" max="11272" width="16.85546875" style="23" customWidth="1"/>
    <col min="11273" max="11521" width="8.85546875" style="23"/>
    <col min="11522" max="11522" width="5.140625" style="23" customWidth="1"/>
    <col min="11523" max="11523" width="52.7109375" style="23" customWidth="1"/>
    <col min="11524" max="11525" width="18.7109375" style="23" customWidth="1"/>
    <col min="11526" max="11527" width="17.5703125" style="23" customWidth="1"/>
    <col min="11528" max="11528" width="16.85546875" style="23" customWidth="1"/>
    <col min="11529" max="11777" width="8.85546875" style="23"/>
    <col min="11778" max="11778" width="5.140625" style="23" customWidth="1"/>
    <col min="11779" max="11779" width="52.7109375" style="23" customWidth="1"/>
    <col min="11780" max="11781" width="18.7109375" style="23" customWidth="1"/>
    <col min="11782" max="11783" width="17.5703125" style="23" customWidth="1"/>
    <col min="11784" max="11784" width="16.85546875" style="23" customWidth="1"/>
    <col min="11785" max="12033" width="8.85546875" style="23"/>
    <col min="12034" max="12034" width="5.140625" style="23" customWidth="1"/>
    <col min="12035" max="12035" width="52.7109375" style="23" customWidth="1"/>
    <col min="12036" max="12037" width="18.7109375" style="23" customWidth="1"/>
    <col min="12038" max="12039" width="17.5703125" style="23" customWidth="1"/>
    <col min="12040" max="12040" width="16.85546875" style="23" customWidth="1"/>
    <col min="12041" max="12289" width="8.85546875" style="23"/>
    <col min="12290" max="12290" width="5.140625" style="23" customWidth="1"/>
    <col min="12291" max="12291" width="52.7109375" style="23" customWidth="1"/>
    <col min="12292" max="12293" width="18.7109375" style="23" customWidth="1"/>
    <col min="12294" max="12295" width="17.5703125" style="23" customWidth="1"/>
    <col min="12296" max="12296" width="16.85546875" style="23" customWidth="1"/>
    <col min="12297" max="12545" width="8.85546875" style="23"/>
    <col min="12546" max="12546" width="5.140625" style="23" customWidth="1"/>
    <col min="12547" max="12547" width="52.7109375" style="23" customWidth="1"/>
    <col min="12548" max="12549" width="18.7109375" style="23" customWidth="1"/>
    <col min="12550" max="12551" width="17.5703125" style="23" customWidth="1"/>
    <col min="12552" max="12552" width="16.85546875" style="23" customWidth="1"/>
    <col min="12553" max="12801" width="8.85546875" style="23"/>
    <col min="12802" max="12802" width="5.140625" style="23" customWidth="1"/>
    <col min="12803" max="12803" width="52.7109375" style="23" customWidth="1"/>
    <col min="12804" max="12805" width="18.7109375" style="23" customWidth="1"/>
    <col min="12806" max="12807" width="17.5703125" style="23" customWidth="1"/>
    <col min="12808" max="12808" width="16.85546875" style="23" customWidth="1"/>
    <col min="12809" max="13057" width="8.85546875" style="23"/>
    <col min="13058" max="13058" width="5.140625" style="23" customWidth="1"/>
    <col min="13059" max="13059" width="52.7109375" style="23" customWidth="1"/>
    <col min="13060" max="13061" width="18.7109375" style="23" customWidth="1"/>
    <col min="13062" max="13063" width="17.5703125" style="23" customWidth="1"/>
    <col min="13064" max="13064" width="16.85546875" style="23" customWidth="1"/>
    <col min="13065" max="13313" width="8.85546875" style="23"/>
    <col min="13314" max="13314" width="5.140625" style="23" customWidth="1"/>
    <col min="13315" max="13315" width="52.7109375" style="23" customWidth="1"/>
    <col min="13316" max="13317" width="18.7109375" style="23" customWidth="1"/>
    <col min="13318" max="13319" width="17.5703125" style="23" customWidth="1"/>
    <col min="13320" max="13320" width="16.85546875" style="23" customWidth="1"/>
    <col min="13321" max="13569" width="8.85546875" style="23"/>
    <col min="13570" max="13570" width="5.140625" style="23" customWidth="1"/>
    <col min="13571" max="13571" width="52.7109375" style="23" customWidth="1"/>
    <col min="13572" max="13573" width="18.7109375" style="23" customWidth="1"/>
    <col min="13574" max="13575" width="17.5703125" style="23" customWidth="1"/>
    <col min="13576" max="13576" width="16.85546875" style="23" customWidth="1"/>
    <col min="13577" max="13825" width="8.85546875" style="23"/>
    <col min="13826" max="13826" width="5.140625" style="23" customWidth="1"/>
    <col min="13827" max="13827" width="52.7109375" style="23" customWidth="1"/>
    <col min="13828" max="13829" width="18.7109375" style="23" customWidth="1"/>
    <col min="13830" max="13831" width="17.5703125" style="23" customWidth="1"/>
    <col min="13832" max="13832" width="16.85546875" style="23" customWidth="1"/>
    <col min="13833" max="14081" width="8.85546875" style="23"/>
    <col min="14082" max="14082" width="5.140625" style="23" customWidth="1"/>
    <col min="14083" max="14083" width="52.7109375" style="23" customWidth="1"/>
    <col min="14084" max="14085" width="18.7109375" style="23" customWidth="1"/>
    <col min="14086" max="14087" width="17.5703125" style="23" customWidth="1"/>
    <col min="14088" max="14088" width="16.85546875" style="23" customWidth="1"/>
    <col min="14089" max="14337" width="8.85546875" style="23"/>
    <col min="14338" max="14338" width="5.140625" style="23" customWidth="1"/>
    <col min="14339" max="14339" width="52.7109375" style="23" customWidth="1"/>
    <col min="14340" max="14341" width="18.7109375" style="23" customWidth="1"/>
    <col min="14342" max="14343" width="17.5703125" style="23" customWidth="1"/>
    <col min="14344" max="14344" width="16.85546875" style="23" customWidth="1"/>
    <col min="14345" max="14593" width="8.85546875" style="23"/>
    <col min="14594" max="14594" width="5.140625" style="23" customWidth="1"/>
    <col min="14595" max="14595" width="52.7109375" style="23" customWidth="1"/>
    <col min="14596" max="14597" width="18.7109375" style="23" customWidth="1"/>
    <col min="14598" max="14599" width="17.5703125" style="23" customWidth="1"/>
    <col min="14600" max="14600" width="16.85546875" style="23" customWidth="1"/>
    <col min="14601" max="14849" width="8.85546875" style="23"/>
    <col min="14850" max="14850" width="5.140625" style="23" customWidth="1"/>
    <col min="14851" max="14851" width="52.7109375" style="23" customWidth="1"/>
    <col min="14852" max="14853" width="18.7109375" style="23" customWidth="1"/>
    <col min="14854" max="14855" width="17.5703125" style="23" customWidth="1"/>
    <col min="14856" max="14856" width="16.85546875" style="23" customWidth="1"/>
    <col min="14857" max="15105" width="8.85546875" style="23"/>
    <col min="15106" max="15106" width="5.140625" style="23" customWidth="1"/>
    <col min="15107" max="15107" width="52.7109375" style="23" customWidth="1"/>
    <col min="15108" max="15109" width="18.7109375" style="23" customWidth="1"/>
    <col min="15110" max="15111" width="17.5703125" style="23" customWidth="1"/>
    <col min="15112" max="15112" width="16.85546875" style="23" customWidth="1"/>
    <col min="15113" max="15361" width="8.85546875" style="23"/>
    <col min="15362" max="15362" width="5.140625" style="23" customWidth="1"/>
    <col min="15363" max="15363" width="52.7109375" style="23" customWidth="1"/>
    <col min="15364" max="15365" width="18.7109375" style="23" customWidth="1"/>
    <col min="15366" max="15367" width="17.5703125" style="23" customWidth="1"/>
    <col min="15368" max="15368" width="16.85546875" style="23" customWidth="1"/>
    <col min="15369" max="15617" width="8.85546875" style="23"/>
    <col min="15618" max="15618" width="5.140625" style="23" customWidth="1"/>
    <col min="15619" max="15619" width="52.7109375" style="23" customWidth="1"/>
    <col min="15620" max="15621" width="18.7109375" style="23" customWidth="1"/>
    <col min="15622" max="15623" width="17.5703125" style="23" customWidth="1"/>
    <col min="15624" max="15624" width="16.85546875" style="23" customWidth="1"/>
    <col min="15625" max="15873" width="8.85546875" style="23"/>
    <col min="15874" max="15874" width="5.140625" style="23" customWidth="1"/>
    <col min="15875" max="15875" width="52.7109375" style="23" customWidth="1"/>
    <col min="15876" max="15877" width="18.7109375" style="23" customWidth="1"/>
    <col min="15878" max="15879" width="17.5703125" style="23" customWidth="1"/>
    <col min="15880" max="15880" width="16.85546875" style="23" customWidth="1"/>
    <col min="15881" max="16129" width="8.85546875" style="23"/>
    <col min="16130" max="16130" width="5.140625" style="23" customWidth="1"/>
    <col min="16131" max="16131" width="52.7109375" style="23" customWidth="1"/>
    <col min="16132" max="16133" width="18.7109375" style="23" customWidth="1"/>
    <col min="16134" max="16135" width="17.5703125" style="23" customWidth="1"/>
    <col min="16136" max="16136" width="16.85546875" style="23" customWidth="1"/>
    <col min="16137" max="16384" width="8.85546875" style="23"/>
  </cols>
  <sheetData>
    <row r="1" spans="1:11" x14ac:dyDescent="0.2">
      <c r="G1" s="139" t="s">
        <v>33</v>
      </c>
      <c r="H1" s="139"/>
    </row>
    <row r="2" spans="1:11" x14ac:dyDescent="0.2">
      <c r="G2" s="139" t="s">
        <v>25</v>
      </c>
      <c r="H2" s="139"/>
    </row>
    <row r="3" spans="1:11" x14ac:dyDescent="0.2">
      <c r="G3" s="139" t="s">
        <v>26</v>
      </c>
      <c r="H3" s="139"/>
    </row>
    <row r="4" spans="1:11" x14ac:dyDescent="0.2">
      <c r="G4" s="139" t="s">
        <v>170</v>
      </c>
      <c r="H4" s="139"/>
    </row>
    <row r="5" spans="1:11" x14ac:dyDescent="0.2">
      <c r="G5" s="48"/>
      <c r="H5" s="48"/>
    </row>
    <row r="6" spans="1:11" x14ac:dyDescent="0.2">
      <c r="A6" s="157" t="s">
        <v>86</v>
      </c>
      <c r="B6" s="157"/>
      <c r="C6" s="157"/>
      <c r="D6" s="157"/>
      <c r="E6" s="157"/>
      <c r="F6" s="157"/>
      <c r="G6" s="157"/>
      <c r="H6" s="157"/>
    </row>
    <row r="8" spans="1:11" s="3" customFormat="1" ht="13.15" customHeight="1" x14ac:dyDescent="0.25">
      <c r="A8" s="152" t="s">
        <v>5</v>
      </c>
      <c r="B8" s="155" t="s">
        <v>0</v>
      </c>
      <c r="C8" s="158" t="s">
        <v>1</v>
      </c>
      <c r="D8" s="158" t="s">
        <v>66</v>
      </c>
      <c r="E8" s="165" t="s">
        <v>3</v>
      </c>
      <c r="F8" s="166"/>
      <c r="G8" s="167"/>
      <c r="H8" s="155" t="s">
        <v>4</v>
      </c>
    </row>
    <row r="9" spans="1:11" s="3" customFormat="1" ht="38.25" x14ac:dyDescent="0.25">
      <c r="A9" s="153"/>
      <c r="B9" s="155"/>
      <c r="C9" s="159"/>
      <c r="D9" s="159"/>
      <c r="E9" s="81" t="s">
        <v>7</v>
      </c>
      <c r="F9" s="82" t="s">
        <v>6</v>
      </c>
      <c r="G9" s="134" t="s">
        <v>64</v>
      </c>
      <c r="H9" s="155"/>
    </row>
    <row r="10" spans="1:11" s="3" customFormat="1" x14ac:dyDescent="0.25">
      <c r="A10" s="154"/>
      <c r="B10" s="155"/>
      <c r="C10" s="160"/>
      <c r="D10" s="160"/>
      <c r="E10" s="82" t="s">
        <v>126</v>
      </c>
      <c r="F10" s="82" t="s">
        <v>126</v>
      </c>
      <c r="G10" s="136"/>
      <c r="H10" s="155"/>
    </row>
    <row r="11" spans="1:11" s="3" customFormat="1" x14ac:dyDescent="0.25">
      <c r="A11" s="162" t="s">
        <v>56</v>
      </c>
      <c r="B11" s="163"/>
      <c r="C11" s="163"/>
      <c r="D11" s="163"/>
      <c r="E11" s="163"/>
      <c r="F11" s="163"/>
      <c r="G11" s="163"/>
      <c r="H11" s="164"/>
    </row>
    <row r="12" spans="1:11" x14ac:dyDescent="0.2">
      <c r="A12" s="7">
        <v>1</v>
      </c>
      <c r="B12" s="10" t="s">
        <v>87</v>
      </c>
      <c r="C12" s="82">
        <v>30</v>
      </c>
      <c r="D12" s="82">
        <v>2</v>
      </c>
      <c r="E12" s="24">
        <f>(C12+D12)*91*15</f>
        <v>43680</v>
      </c>
      <c r="F12" s="24"/>
      <c r="G12" s="24"/>
      <c r="H12" s="9">
        <f>E12+F12+G12</f>
        <v>43680</v>
      </c>
    </row>
    <row r="13" spans="1:11" x14ac:dyDescent="0.2">
      <c r="A13" s="7"/>
      <c r="B13" s="10"/>
      <c r="C13" s="25"/>
      <c r="D13" s="25"/>
      <c r="E13" s="26"/>
      <c r="F13" s="26"/>
      <c r="G13" s="26"/>
      <c r="H13" s="9"/>
    </row>
    <row r="14" spans="1:11" x14ac:dyDescent="0.2">
      <c r="A14" s="18"/>
      <c r="B14" s="19" t="s">
        <v>4</v>
      </c>
      <c r="C14" s="27">
        <f t="shared" ref="C14:H14" si="0">C12</f>
        <v>30</v>
      </c>
      <c r="D14" s="27">
        <f t="shared" si="0"/>
        <v>2</v>
      </c>
      <c r="E14" s="28">
        <f t="shared" si="0"/>
        <v>43680</v>
      </c>
      <c r="F14" s="28">
        <f t="shared" si="0"/>
        <v>0</v>
      </c>
      <c r="G14" s="28">
        <f t="shared" si="0"/>
        <v>0</v>
      </c>
      <c r="H14" s="21">
        <f t="shared" si="0"/>
        <v>43680</v>
      </c>
    </row>
    <row r="16" spans="1:11" customFormat="1" ht="15" x14ac:dyDescent="0.25">
      <c r="A16" s="23" t="s">
        <v>29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1" customFormat="1" ht="15" x14ac:dyDescent="0.25">
      <c r="A17" s="23" t="s">
        <v>127</v>
      </c>
      <c r="B17" s="63"/>
      <c r="C17" s="23"/>
      <c r="D17" s="23"/>
      <c r="E17" s="23"/>
      <c r="F17" s="23"/>
      <c r="G17" s="23"/>
      <c r="H17" s="23"/>
      <c r="I17" s="23"/>
      <c r="J17" s="23"/>
      <c r="K17" s="23"/>
    </row>
    <row r="18" spans="1:11" customFormat="1" ht="15" x14ac:dyDescent="0.25">
      <c r="A18" s="23" t="s">
        <v>128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spans="1:11" customFormat="1" ht="15" x14ac:dyDescent="0.25">
      <c r="A19" s="23" t="s">
        <v>129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customFormat="1" ht="15" x14ac:dyDescent="0.25">
      <c r="A20" s="23" t="s">
        <v>30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customFormat="1" ht="15" x14ac:dyDescent="0.25">
      <c r="A21" s="23" t="s">
        <v>62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customFormat="1" ht="15" x14ac:dyDescent="0.25">
      <c r="A22" s="23" t="s">
        <v>63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x14ac:dyDescent="0.2">
      <c r="A23" s="23" t="s">
        <v>104</v>
      </c>
    </row>
    <row r="24" spans="1:11" x14ac:dyDescent="0.2">
      <c r="A24" s="23" t="s">
        <v>108</v>
      </c>
    </row>
  </sheetData>
  <mergeCells count="13">
    <mergeCell ref="G1:H1"/>
    <mergeCell ref="G2:H2"/>
    <mergeCell ref="G3:H3"/>
    <mergeCell ref="G4:H4"/>
    <mergeCell ref="A6:H6"/>
    <mergeCell ref="H8:H10"/>
    <mergeCell ref="G9:G10"/>
    <mergeCell ref="A11:H11"/>
    <mergeCell ref="A8:A10"/>
    <mergeCell ref="B8:B10"/>
    <mergeCell ref="C8:C10"/>
    <mergeCell ref="D8:D10"/>
    <mergeCell ref="E8:G8"/>
  </mergeCells>
  <pageMargins left="0.7" right="0.7" top="0.75" bottom="0.75" header="0.3" footer="0.3"/>
  <pageSetup paperSize="9" scale="5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abSelected="1" topLeftCell="G4" zoomScaleNormal="100" workbookViewId="0">
      <selection activeCell="N40" sqref="N40"/>
    </sheetView>
  </sheetViews>
  <sheetFormatPr defaultColWidth="8.85546875" defaultRowHeight="12.75" x14ac:dyDescent="0.2"/>
  <cols>
    <col min="1" max="1" width="4.42578125" style="53" customWidth="1"/>
    <col min="2" max="2" width="28.28515625" style="53" customWidth="1"/>
    <col min="3" max="3" width="9" style="53" bestFit="1" customWidth="1"/>
    <col min="4" max="4" width="11.28515625" style="53" customWidth="1"/>
    <col min="5" max="7" width="9" style="53" bestFit="1" customWidth="1"/>
    <col min="8" max="18" width="11.85546875" style="53" customWidth="1"/>
    <col min="19" max="19" width="15" style="53" customWidth="1"/>
    <col min="20" max="20" width="12.5703125" style="53" bestFit="1" customWidth="1"/>
    <col min="21" max="21" width="9.85546875" style="53" bestFit="1" customWidth="1"/>
    <col min="22" max="16384" width="8.85546875" style="53"/>
  </cols>
  <sheetData>
    <row r="1" spans="1:19" x14ac:dyDescent="0.2">
      <c r="O1" s="140" t="s">
        <v>177</v>
      </c>
      <c r="P1" s="140"/>
      <c r="Q1" s="140"/>
      <c r="R1" s="140"/>
    </row>
    <row r="2" spans="1:19" x14ac:dyDescent="0.2">
      <c r="O2" s="140" t="s">
        <v>25</v>
      </c>
      <c r="P2" s="140"/>
      <c r="Q2" s="140"/>
      <c r="R2" s="140"/>
    </row>
    <row r="3" spans="1:19" x14ac:dyDescent="0.2">
      <c r="O3" s="140" t="s">
        <v>26</v>
      </c>
      <c r="P3" s="140"/>
      <c r="Q3" s="140"/>
      <c r="R3" s="140"/>
    </row>
    <row r="4" spans="1:19" x14ac:dyDescent="0.2">
      <c r="O4" s="140" t="s">
        <v>170</v>
      </c>
      <c r="P4" s="140"/>
      <c r="Q4" s="140"/>
      <c r="R4" s="140"/>
    </row>
    <row r="5" spans="1:19" x14ac:dyDescent="0.2">
      <c r="A5" s="54"/>
      <c r="B5" s="54"/>
      <c r="C5" s="54"/>
      <c r="D5" s="54"/>
      <c r="E5" s="54"/>
      <c r="F5" s="54"/>
      <c r="G5" s="54"/>
      <c r="H5" s="54"/>
      <c r="I5" s="55"/>
      <c r="J5" s="55"/>
      <c r="K5" s="54"/>
      <c r="L5" s="54"/>
      <c r="M5" s="54"/>
      <c r="N5" s="54"/>
      <c r="O5" s="171"/>
      <c r="P5" s="171"/>
      <c r="Q5" s="171"/>
      <c r="R5" s="171"/>
      <c r="S5" s="171"/>
    </row>
    <row r="6" spans="1:19" ht="13.15" customHeight="1" x14ac:dyDescent="0.2">
      <c r="A6" s="170" t="s">
        <v>38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54"/>
    </row>
    <row r="7" spans="1:19" x14ac:dyDescent="0.2">
      <c r="A7" s="54"/>
      <c r="B7" s="54"/>
      <c r="C7" s="54"/>
      <c r="D7" s="54"/>
      <c r="E7" s="54"/>
      <c r="F7" s="54"/>
      <c r="G7" s="54"/>
      <c r="H7" s="54"/>
      <c r="I7" s="56"/>
      <c r="J7" s="55"/>
      <c r="K7" s="54"/>
      <c r="L7" s="54"/>
      <c r="M7" s="54"/>
      <c r="N7" s="54"/>
      <c r="O7" s="54"/>
      <c r="P7" s="54"/>
      <c r="Q7" s="54"/>
      <c r="R7" s="54"/>
      <c r="S7" s="54"/>
    </row>
    <row r="8" spans="1:19" ht="13.15" customHeight="1" x14ac:dyDescent="0.2">
      <c r="A8" s="169" t="s">
        <v>39</v>
      </c>
      <c r="B8" s="169" t="s">
        <v>40</v>
      </c>
      <c r="C8" s="169" t="s">
        <v>41</v>
      </c>
      <c r="D8" s="169" t="s">
        <v>72</v>
      </c>
      <c r="E8" s="169" t="s">
        <v>42</v>
      </c>
      <c r="F8" s="169" t="s">
        <v>43</v>
      </c>
      <c r="G8" s="169"/>
      <c r="H8" s="169" t="s">
        <v>44</v>
      </c>
      <c r="I8" s="169"/>
      <c r="J8" s="169"/>
      <c r="K8" s="169"/>
      <c r="L8" s="169" t="s">
        <v>45</v>
      </c>
      <c r="M8" s="169"/>
      <c r="N8" s="169" t="s">
        <v>46</v>
      </c>
      <c r="O8" s="169"/>
      <c r="P8" s="169" t="s">
        <v>47</v>
      </c>
      <c r="Q8" s="169"/>
      <c r="R8" s="173" t="s">
        <v>48</v>
      </c>
      <c r="S8" s="57"/>
    </row>
    <row r="9" spans="1:19" x14ac:dyDescent="0.2">
      <c r="A9" s="169"/>
      <c r="B9" s="169"/>
      <c r="C9" s="169"/>
      <c r="D9" s="169"/>
      <c r="E9" s="169"/>
      <c r="F9" s="169" t="s">
        <v>49</v>
      </c>
      <c r="G9" s="169" t="s">
        <v>50</v>
      </c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73"/>
      <c r="S9" s="57"/>
    </row>
    <row r="10" spans="1:19" x14ac:dyDescent="0.2">
      <c r="A10" s="169"/>
      <c r="B10" s="169"/>
      <c r="C10" s="169"/>
      <c r="D10" s="169"/>
      <c r="E10" s="169"/>
      <c r="F10" s="169"/>
      <c r="G10" s="169"/>
      <c r="H10" s="169" t="s">
        <v>49</v>
      </c>
      <c r="I10" s="169" t="s">
        <v>51</v>
      </c>
      <c r="J10" s="169" t="s">
        <v>52</v>
      </c>
      <c r="K10" s="169" t="s">
        <v>50</v>
      </c>
      <c r="L10" s="169" t="s">
        <v>49</v>
      </c>
      <c r="M10" s="169" t="s">
        <v>50</v>
      </c>
      <c r="N10" s="169" t="s">
        <v>53</v>
      </c>
      <c r="O10" s="168" t="s">
        <v>54</v>
      </c>
      <c r="P10" s="169" t="s">
        <v>55</v>
      </c>
      <c r="Q10" s="169" t="s">
        <v>54</v>
      </c>
      <c r="R10" s="173"/>
      <c r="S10" s="172"/>
    </row>
    <row r="11" spans="1:19" ht="55.9" customHeight="1" x14ac:dyDescent="0.2">
      <c r="A11" s="169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8"/>
      <c r="P11" s="169"/>
      <c r="Q11" s="169"/>
      <c r="R11" s="173"/>
      <c r="S11" s="172"/>
    </row>
    <row r="12" spans="1:19" s="105" customFormat="1" ht="38.25" x14ac:dyDescent="0.2">
      <c r="A12" s="103" t="s">
        <v>70</v>
      </c>
      <c r="B12" s="66" t="s">
        <v>132</v>
      </c>
      <c r="C12" s="103" t="s">
        <v>71</v>
      </c>
      <c r="D12" s="103" t="s">
        <v>133</v>
      </c>
      <c r="E12" s="103" t="s">
        <v>79</v>
      </c>
      <c r="F12" s="103" t="s">
        <v>74</v>
      </c>
      <c r="G12" s="103" t="s">
        <v>70</v>
      </c>
      <c r="H12" s="67">
        <f>(11940+431.04)*F12</f>
        <v>148452.48000000001</v>
      </c>
      <c r="I12" s="67">
        <f>937*E12*F12</f>
        <v>78708</v>
      </c>
      <c r="J12" s="67">
        <f t="shared" ref="J12:J22" si="0">H12-I12</f>
        <v>69744.48000000001</v>
      </c>
      <c r="K12" s="67">
        <f>11940*G12</f>
        <v>11940</v>
      </c>
      <c r="L12" s="67">
        <f>4069.79*F12</f>
        <v>48837.479999999996</v>
      </c>
      <c r="M12" s="67">
        <f>6368.46*G12</f>
        <v>6368.46</v>
      </c>
      <c r="N12" s="67"/>
      <c r="O12" s="126"/>
      <c r="P12" s="67">
        <f t="shared" ref="P12:P19" si="1">Q12/F12</f>
        <v>11407.535000000002</v>
      </c>
      <c r="Q12" s="67">
        <f>J12+K12+L12+M12</f>
        <v>136890.42000000001</v>
      </c>
      <c r="R12" s="68">
        <v>0</v>
      </c>
      <c r="S12" s="104"/>
    </row>
    <row r="13" spans="1:19" ht="38.25" x14ac:dyDescent="0.2">
      <c r="A13" s="102" t="s">
        <v>80</v>
      </c>
      <c r="B13" s="66" t="s">
        <v>130</v>
      </c>
      <c r="C13" s="102" t="s">
        <v>71</v>
      </c>
      <c r="D13" s="102" t="s">
        <v>131</v>
      </c>
      <c r="E13" s="102" t="s">
        <v>73</v>
      </c>
      <c r="F13" s="102" t="s">
        <v>74</v>
      </c>
      <c r="G13" s="102" t="s">
        <v>70</v>
      </c>
      <c r="H13" s="67">
        <f>26628*F13</f>
        <v>319536</v>
      </c>
      <c r="I13" s="67">
        <f>937*E13*F13</f>
        <v>236124</v>
      </c>
      <c r="J13" s="67">
        <f>H13-I13</f>
        <v>83412</v>
      </c>
      <c r="K13" s="67">
        <f>18165*G13</f>
        <v>18165</v>
      </c>
      <c r="L13" s="67">
        <f>11259.95*F13</f>
        <v>135119.40000000002</v>
      </c>
      <c r="M13" s="67">
        <f>17250*G13</f>
        <v>17250</v>
      </c>
      <c r="N13" s="67"/>
      <c r="O13" s="126"/>
      <c r="P13" s="67">
        <f>Q13/F13</f>
        <v>19724.670000000002</v>
      </c>
      <c r="Q13" s="67">
        <f>J13+K13+L13-0.36</f>
        <v>236696.04000000004</v>
      </c>
      <c r="R13" s="68">
        <f>M13</f>
        <v>17250</v>
      </c>
      <c r="S13" s="78"/>
    </row>
    <row r="14" spans="1:19" ht="38.25" x14ac:dyDescent="0.2">
      <c r="A14" s="117" t="s">
        <v>81</v>
      </c>
      <c r="B14" s="69" t="s">
        <v>134</v>
      </c>
      <c r="C14" s="117" t="s">
        <v>71</v>
      </c>
      <c r="D14" s="117" t="s">
        <v>135</v>
      </c>
      <c r="E14" s="117" t="s">
        <v>73</v>
      </c>
      <c r="F14" s="117" t="s">
        <v>152</v>
      </c>
      <c r="G14" s="117" t="s">
        <v>70</v>
      </c>
      <c r="H14" s="67">
        <f>22050*F14</f>
        <v>220500</v>
      </c>
      <c r="I14" s="67">
        <f>937*E14*F14</f>
        <v>196770</v>
      </c>
      <c r="J14" s="67">
        <f>H14-I14</f>
        <v>23730</v>
      </c>
      <c r="K14" s="67">
        <v>18375</v>
      </c>
      <c r="L14" s="67">
        <f>((10140+482.85)*9+((9440+472.35)*1))</f>
        <v>105518.00000000001</v>
      </c>
      <c r="M14" s="67">
        <f>G14*16200</f>
        <v>16200</v>
      </c>
      <c r="N14" s="67"/>
      <c r="O14" s="126"/>
      <c r="P14" s="67">
        <f>Q14/10</f>
        <v>14762.3</v>
      </c>
      <c r="Q14" s="67">
        <f>J14+K14+L14</f>
        <v>147623</v>
      </c>
      <c r="R14" s="68">
        <f>M14</f>
        <v>16200</v>
      </c>
      <c r="S14" s="78"/>
    </row>
    <row r="15" spans="1:19" ht="38.25" x14ac:dyDescent="0.2">
      <c r="A15" s="117" t="s">
        <v>153</v>
      </c>
      <c r="B15" s="69" t="s">
        <v>134</v>
      </c>
      <c r="C15" s="117" t="s">
        <v>154</v>
      </c>
      <c r="D15" s="117" t="s">
        <v>135</v>
      </c>
      <c r="E15" s="117" t="s">
        <v>73</v>
      </c>
      <c r="F15" s="117" t="s">
        <v>80</v>
      </c>
      <c r="G15" s="117" t="s">
        <v>155</v>
      </c>
      <c r="H15" s="67">
        <f>22050*F15</f>
        <v>44100</v>
      </c>
      <c r="I15" s="67">
        <f>H15</f>
        <v>44100</v>
      </c>
      <c r="J15" s="67">
        <f>H15-I15</f>
        <v>0</v>
      </c>
      <c r="K15" s="67">
        <f>3675+482.85+482.85</f>
        <v>4640.7000000000007</v>
      </c>
      <c r="L15" s="67">
        <f>10140*F15</f>
        <v>20280</v>
      </c>
      <c r="M15" s="67">
        <f>G15*16200</f>
        <v>0</v>
      </c>
      <c r="N15" s="67">
        <f>O15/F15</f>
        <v>12460.35</v>
      </c>
      <c r="O15" s="126">
        <f>K15+L15</f>
        <v>24920.7</v>
      </c>
      <c r="P15" s="67">
        <v>0</v>
      </c>
      <c r="Q15" s="67">
        <v>0</v>
      </c>
      <c r="R15" s="68">
        <f>M15</f>
        <v>0</v>
      </c>
      <c r="S15" s="78"/>
    </row>
    <row r="16" spans="1:19" ht="25.5" x14ac:dyDescent="0.2">
      <c r="A16" s="117" t="s">
        <v>82</v>
      </c>
      <c r="B16" s="66" t="s">
        <v>136</v>
      </c>
      <c r="C16" s="117" t="s">
        <v>71</v>
      </c>
      <c r="D16" s="117" t="s">
        <v>137</v>
      </c>
      <c r="E16" s="117" t="s">
        <v>73</v>
      </c>
      <c r="F16" s="117" t="s">
        <v>160</v>
      </c>
      <c r="G16" s="117" t="s">
        <v>70</v>
      </c>
      <c r="H16" s="67">
        <f>8*21440+3*22512</f>
        <v>239056</v>
      </c>
      <c r="I16" s="67">
        <f>937*8*21+937*3*20</f>
        <v>213636</v>
      </c>
      <c r="J16" s="67">
        <f t="shared" si="0"/>
        <v>25420</v>
      </c>
      <c r="K16" s="67">
        <v>0</v>
      </c>
      <c r="L16" s="67">
        <f>4509.94+3135.03</f>
        <v>7644.9699999999993</v>
      </c>
      <c r="M16" s="67">
        <f>4750+2550</f>
        <v>7300</v>
      </c>
      <c r="N16" s="67"/>
      <c r="O16" s="126"/>
      <c r="P16" s="67">
        <f t="shared" si="1"/>
        <v>6933.1463636363633</v>
      </c>
      <c r="Q16" s="67">
        <f>7344.94*8+5835.03*3</f>
        <v>76264.61</v>
      </c>
      <c r="R16" s="68">
        <v>0</v>
      </c>
      <c r="S16" s="78"/>
    </row>
    <row r="17" spans="1:23" ht="38.25" x14ac:dyDescent="0.2">
      <c r="A17" s="103" t="s">
        <v>83</v>
      </c>
      <c r="B17" s="69" t="s">
        <v>138</v>
      </c>
      <c r="C17" s="103" t="s">
        <v>71</v>
      </c>
      <c r="D17" s="65" t="s">
        <v>139</v>
      </c>
      <c r="E17" s="70">
        <v>21</v>
      </c>
      <c r="F17" s="70">
        <v>13</v>
      </c>
      <c r="G17" s="70">
        <v>0</v>
      </c>
      <c r="H17" s="67">
        <f>1050*F17</f>
        <v>13650</v>
      </c>
      <c r="I17" s="67">
        <v>0</v>
      </c>
      <c r="J17" s="67">
        <f t="shared" si="0"/>
        <v>13650</v>
      </c>
      <c r="K17" s="67">
        <v>0</v>
      </c>
      <c r="L17" s="67">
        <v>0</v>
      </c>
      <c r="M17" s="67">
        <v>0</v>
      </c>
      <c r="N17" s="67">
        <f>O17/F17</f>
        <v>1050</v>
      </c>
      <c r="O17" s="126">
        <f>J17</f>
        <v>13650</v>
      </c>
      <c r="P17" s="67">
        <f t="shared" si="1"/>
        <v>0</v>
      </c>
      <c r="Q17" s="67">
        <v>0</v>
      </c>
      <c r="R17" s="68">
        <v>0</v>
      </c>
      <c r="S17" s="78"/>
      <c r="T17" s="60"/>
      <c r="U17" s="60"/>
      <c r="V17" s="60"/>
      <c r="W17" s="60"/>
    </row>
    <row r="18" spans="1:23" ht="51" x14ac:dyDescent="0.2">
      <c r="A18" s="118" t="s">
        <v>85</v>
      </c>
      <c r="B18" s="69" t="s">
        <v>140</v>
      </c>
      <c r="C18" s="118" t="s">
        <v>71</v>
      </c>
      <c r="D18" s="65" t="s">
        <v>141</v>
      </c>
      <c r="E18" s="70">
        <v>21</v>
      </c>
      <c r="F18" s="70">
        <v>12</v>
      </c>
      <c r="G18" s="70">
        <v>1</v>
      </c>
      <c r="H18" s="67">
        <f>22995*F18</f>
        <v>275940</v>
      </c>
      <c r="I18" s="67">
        <f>937*E18*F18</f>
        <v>236124</v>
      </c>
      <c r="J18" s="67">
        <f t="shared" si="0"/>
        <v>39816</v>
      </c>
      <c r="K18" s="67">
        <v>0</v>
      </c>
      <c r="L18" s="67">
        <f>(390.01+3005.6+292)*10+(381.01+2405.6+292)*2</f>
        <v>43033.32</v>
      </c>
      <c r="M18" s="67">
        <f>587*12</f>
        <v>7044</v>
      </c>
      <c r="N18" s="67"/>
      <c r="O18" s="126"/>
      <c r="P18" s="67">
        <f t="shared" si="1"/>
        <v>7491.1100000000006</v>
      </c>
      <c r="Q18" s="67">
        <f>J18+L18+M18</f>
        <v>89893.32</v>
      </c>
      <c r="R18" s="68">
        <v>0</v>
      </c>
      <c r="S18" s="78"/>
      <c r="T18" s="60"/>
      <c r="U18" s="60"/>
      <c r="V18" s="60"/>
      <c r="W18" s="60"/>
    </row>
    <row r="19" spans="1:23" ht="63.75" x14ac:dyDescent="0.2">
      <c r="A19" s="103" t="s">
        <v>79</v>
      </c>
      <c r="B19" s="69" t="s">
        <v>163</v>
      </c>
      <c r="C19" s="103" t="s">
        <v>71</v>
      </c>
      <c r="D19" s="65" t="s">
        <v>144</v>
      </c>
      <c r="E19" s="70">
        <v>21</v>
      </c>
      <c r="F19" s="70">
        <v>11</v>
      </c>
      <c r="G19" s="70">
        <v>0</v>
      </c>
      <c r="H19" s="67">
        <f>5040*F19</f>
        <v>55440</v>
      </c>
      <c r="I19" s="67">
        <v>0</v>
      </c>
      <c r="J19" s="67">
        <f>H19-I19</f>
        <v>55440</v>
      </c>
      <c r="K19" s="67">
        <v>0</v>
      </c>
      <c r="L19" s="67">
        <v>0</v>
      </c>
      <c r="M19" s="67">
        <v>0</v>
      </c>
      <c r="N19" s="67">
        <f t="shared" ref="N19:N24" si="2">O19/F19</f>
        <v>2520</v>
      </c>
      <c r="O19" s="126">
        <f>J19*50%</f>
        <v>27720</v>
      </c>
      <c r="P19" s="67">
        <f t="shared" si="1"/>
        <v>2520</v>
      </c>
      <c r="Q19" s="67">
        <f>J19*50%</f>
        <v>27720</v>
      </c>
      <c r="R19" s="68">
        <v>0</v>
      </c>
      <c r="S19" s="78"/>
      <c r="T19" s="60"/>
      <c r="U19" s="60"/>
      <c r="V19" s="60"/>
      <c r="W19" s="60"/>
    </row>
    <row r="20" spans="1:23" ht="63.75" x14ac:dyDescent="0.2">
      <c r="A20" s="117" t="s">
        <v>157</v>
      </c>
      <c r="B20" s="69" t="s">
        <v>163</v>
      </c>
      <c r="C20" s="117" t="s">
        <v>154</v>
      </c>
      <c r="D20" s="65" t="s">
        <v>144</v>
      </c>
      <c r="E20" s="70">
        <v>21</v>
      </c>
      <c r="F20" s="70">
        <v>2</v>
      </c>
      <c r="G20" s="70">
        <v>0</v>
      </c>
      <c r="H20" s="67">
        <f>5040*F20</f>
        <v>10080</v>
      </c>
      <c r="I20" s="67">
        <f>H20</f>
        <v>10080</v>
      </c>
      <c r="J20" s="67">
        <f t="shared" ref="J20" si="3">H20-I20</f>
        <v>0</v>
      </c>
      <c r="K20" s="67">
        <v>0</v>
      </c>
      <c r="L20" s="67">
        <v>0</v>
      </c>
      <c r="M20" s="67">
        <v>0</v>
      </c>
      <c r="N20" s="67">
        <f t="shared" si="2"/>
        <v>0</v>
      </c>
      <c r="O20" s="126">
        <f>J20</f>
        <v>0</v>
      </c>
      <c r="P20" s="67">
        <f t="shared" ref="P20:P21" si="4">Q20/F20</f>
        <v>0</v>
      </c>
      <c r="Q20" s="67">
        <v>0</v>
      </c>
      <c r="R20" s="68">
        <v>0</v>
      </c>
      <c r="S20" s="78"/>
      <c r="T20" s="60"/>
      <c r="U20" s="60"/>
      <c r="V20" s="60"/>
      <c r="W20" s="60"/>
    </row>
    <row r="21" spans="1:23" ht="51" x14ac:dyDescent="0.2">
      <c r="A21" s="103" t="s">
        <v>84</v>
      </c>
      <c r="B21" s="69" t="s">
        <v>142</v>
      </c>
      <c r="C21" s="103" t="s">
        <v>71</v>
      </c>
      <c r="D21" s="65" t="s">
        <v>143</v>
      </c>
      <c r="E21" s="70">
        <v>21</v>
      </c>
      <c r="F21" s="70">
        <v>10</v>
      </c>
      <c r="G21" s="70">
        <v>0</v>
      </c>
      <c r="H21" s="67">
        <f>5040*F21</f>
        <v>50400</v>
      </c>
      <c r="I21" s="67">
        <v>0</v>
      </c>
      <c r="J21" s="67">
        <f t="shared" si="0"/>
        <v>50400</v>
      </c>
      <c r="K21" s="67">
        <v>0</v>
      </c>
      <c r="L21" s="67">
        <v>0</v>
      </c>
      <c r="M21" s="67">
        <v>0</v>
      </c>
      <c r="N21" s="67">
        <f t="shared" si="2"/>
        <v>2520</v>
      </c>
      <c r="O21" s="126">
        <f>J21*50%</f>
        <v>25200</v>
      </c>
      <c r="P21" s="67">
        <f t="shared" si="4"/>
        <v>2520</v>
      </c>
      <c r="Q21" s="67">
        <f>J21*50%</f>
        <v>25200</v>
      </c>
      <c r="R21" s="68">
        <v>0</v>
      </c>
      <c r="S21" s="78"/>
      <c r="T21" s="60"/>
      <c r="U21" s="60"/>
      <c r="V21" s="60"/>
      <c r="W21" s="60"/>
    </row>
    <row r="22" spans="1:23" ht="63.75" x14ac:dyDescent="0.2">
      <c r="A22" s="119" t="s">
        <v>161</v>
      </c>
      <c r="B22" s="69" t="s">
        <v>168</v>
      </c>
      <c r="C22" s="119" t="s">
        <v>71</v>
      </c>
      <c r="D22" s="65" t="s">
        <v>162</v>
      </c>
      <c r="E22" s="70">
        <v>7</v>
      </c>
      <c r="F22" s="70">
        <v>9</v>
      </c>
      <c r="G22" s="70">
        <v>0</v>
      </c>
      <c r="H22" s="67">
        <f>8239*F22</f>
        <v>74151</v>
      </c>
      <c r="I22" s="67">
        <f>6559*F22</f>
        <v>59031</v>
      </c>
      <c r="J22" s="67">
        <f t="shared" si="0"/>
        <v>15120</v>
      </c>
      <c r="K22" s="67">
        <v>0</v>
      </c>
      <c r="L22" s="67">
        <v>0</v>
      </c>
      <c r="M22" s="67">
        <v>0</v>
      </c>
      <c r="N22" s="67">
        <f t="shared" si="2"/>
        <v>1680</v>
      </c>
      <c r="O22" s="126">
        <f>J22</f>
        <v>15120</v>
      </c>
      <c r="P22" s="67">
        <v>0</v>
      </c>
      <c r="Q22" s="67">
        <v>0</v>
      </c>
      <c r="R22" s="68">
        <v>0</v>
      </c>
      <c r="S22" s="78"/>
      <c r="T22" s="60"/>
      <c r="U22" s="60"/>
      <c r="V22" s="60"/>
      <c r="W22" s="60"/>
    </row>
    <row r="23" spans="1:23" ht="76.5" x14ac:dyDescent="0.2">
      <c r="A23" s="120" t="s">
        <v>152</v>
      </c>
      <c r="B23" s="69" t="s">
        <v>164</v>
      </c>
      <c r="C23" s="120" t="s">
        <v>71</v>
      </c>
      <c r="D23" s="65" t="s">
        <v>165</v>
      </c>
      <c r="E23" s="70">
        <v>7</v>
      </c>
      <c r="F23" s="70">
        <v>16</v>
      </c>
      <c r="G23" s="70">
        <v>1</v>
      </c>
      <c r="H23" s="67">
        <f>8239*F23</f>
        <v>131824</v>
      </c>
      <c r="I23" s="67">
        <f>6559*F23</f>
        <v>104944</v>
      </c>
      <c r="J23" s="67">
        <f>H23-I23</f>
        <v>26880</v>
      </c>
      <c r="K23" s="67">
        <f>3500*G23</f>
        <v>3500</v>
      </c>
      <c r="L23" s="67">
        <v>0</v>
      </c>
      <c r="M23" s="67">
        <v>0</v>
      </c>
      <c r="N23" s="67">
        <f t="shared" si="2"/>
        <v>784.75</v>
      </c>
      <c r="O23" s="126">
        <f>K23+566*F23</f>
        <v>12556</v>
      </c>
      <c r="P23" s="67">
        <f>Q23/F23</f>
        <v>1114</v>
      </c>
      <c r="Q23" s="67">
        <f>(J23+K23)-O23</f>
        <v>17824</v>
      </c>
      <c r="R23" s="68">
        <v>0</v>
      </c>
      <c r="S23" s="78"/>
      <c r="T23" s="60"/>
      <c r="U23" s="60"/>
      <c r="V23" s="60"/>
      <c r="W23" s="60"/>
    </row>
    <row r="24" spans="1:23" ht="63.75" x14ac:dyDescent="0.2">
      <c r="A24" s="121" t="s">
        <v>160</v>
      </c>
      <c r="B24" s="69" t="s">
        <v>166</v>
      </c>
      <c r="C24" s="121" t="s">
        <v>71</v>
      </c>
      <c r="D24" s="65" t="s">
        <v>167</v>
      </c>
      <c r="E24" s="70">
        <v>7</v>
      </c>
      <c r="F24" s="70">
        <v>10</v>
      </c>
      <c r="G24" s="70">
        <v>1</v>
      </c>
      <c r="H24" s="67">
        <f>8239*F24</f>
        <v>82390</v>
      </c>
      <c r="I24" s="67">
        <f>6559*F24</f>
        <v>65590</v>
      </c>
      <c r="J24" s="67">
        <f>H24-I24</f>
        <v>16800</v>
      </c>
      <c r="K24" s="67">
        <f>3500*G24</f>
        <v>3500</v>
      </c>
      <c r="L24" s="67">
        <v>0</v>
      </c>
      <c r="M24" s="67">
        <v>0</v>
      </c>
      <c r="N24" s="67">
        <f t="shared" si="2"/>
        <v>916</v>
      </c>
      <c r="O24" s="126">
        <f>K24+566*F24</f>
        <v>9160</v>
      </c>
      <c r="P24" s="67">
        <f>Q24/F24</f>
        <v>1114</v>
      </c>
      <c r="Q24" s="67">
        <f>(J24+K24)-O24</f>
        <v>11140</v>
      </c>
      <c r="R24" s="68">
        <v>0</v>
      </c>
      <c r="S24" s="78"/>
      <c r="T24" s="60"/>
      <c r="U24" s="60"/>
      <c r="V24" s="60"/>
      <c r="W24" s="60"/>
    </row>
    <row r="25" spans="1:23" x14ac:dyDescent="0.2">
      <c r="A25" s="58"/>
      <c r="B25" s="59" t="s">
        <v>75</v>
      </c>
      <c r="C25" s="59"/>
      <c r="D25" s="59"/>
      <c r="E25" s="71"/>
      <c r="F25" s="73">
        <f>F12+F13+F14+F16+F17+F18+F19+F21+F22+F15+F20+F23+F24</f>
        <v>130</v>
      </c>
      <c r="G25" s="71"/>
      <c r="H25" s="72">
        <f>H12+H13+H14+H16+H17+H18+H19+H21+H15+H20+H22+H23+H24</f>
        <v>1665519.48</v>
      </c>
      <c r="I25" s="72">
        <f t="shared" ref="I25:R25" si="5">I12+I13+I14+I16+I17+I18+I19+I21+I15+I20+I22+I23+I24</f>
        <v>1245107</v>
      </c>
      <c r="J25" s="72">
        <f t="shared" si="5"/>
        <v>420412.48</v>
      </c>
      <c r="K25" s="72">
        <f t="shared" si="5"/>
        <v>60120.7</v>
      </c>
      <c r="L25" s="72">
        <f t="shared" si="5"/>
        <v>360433.17</v>
      </c>
      <c r="M25" s="72">
        <f t="shared" si="5"/>
        <v>54162.46</v>
      </c>
      <c r="N25" s="72">
        <f t="shared" si="5"/>
        <v>21931.1</v>
      </c>
      <c r="O25" s="127">
        <f t="shared" si="5"/>
        <v>128326.7</v>
      </c>
      <c r="P25" s="72">
        <f t="shared" si="5"/>
        <v>67586.761363636368</v>
      </c>
      <c r="Q25" s="72">
        <f t="shared" si="5"/>
        <v>769251.39000000013</v>
      </c>
      <c r="R25" s="72">
        <f t="shared" si="5"/>
        <v>33450</v>
      </c>
      <c r="S25" s="78"/>
      <c r="T25" s="60"/>
      <c r="U25" s="60"/>
      <c r="V25" s="60"/>
    </row>
    <row r="26" spans="1:23" x14ac:dyDescent="0.2">
      <c r="A26" s="86"/>
      <c r="B26" s="66"/>
      <c r="C26" s="86"/>
      <c r="D26" s="65"/>
      <c r="E26" s="70"/>
      <c r="F26" s="70"/>
      <c r="G26" s="70"/>
      <c r="H26" s="67"/>
      <c r="I26" s="67"/>
      <c r="J26" s="67"/>
      <c r="K26" s="67"/>
      <c r="L26" s="67"/>
      <c r="M26" s="67"/>
      <c r="N26" s="67"/>
      <c r="O26" s="126"/>
      <c r="P26" s="67"/>
      <c r="Q26" s="67"/>
      <c r="R26" s="68"/>
      <c r="S26" s="78"/>
      <c r="T26" s="60"/>
      <c r="U26" s="60"/>
      <c r="V26" s="60"/>
      <c r="W26" s="60"/>
    </row>
    <row r="27" spans="1:23" ht="38.25" x14ac:dyDescent="0.2">
      <c r="A27" s="86" t="s">
        <v>70</v>
      </c>
      <c r="B27" s="66" t="s">
        <v>130</v>
      </c>
      <c r="C27" s="102" t="s">
        <v>145</v>
      </c>
      <c r="D27" s="102" t="s">
        <v>131</v>
      </c>
      <c r="E27" s="102" t="s">
        <v>73</v>
      </c>
      <c r="F27" s="102" t="s">
        <v>74</v>
      </c>
      <c r="G27" s="102" t="s">
        <v>70</v>
      </c>
      <c r="H27" s="67">
        <v>0</v>
      </c>
      <c r="I27" s="67">
        <f>12260*F27</f>
        <v>147120</v>
      </c>
      <c r="J27" s="67">
        <v>0</v>
      </c>
      <c r="K27" s="67">
        <f>18165*G27</f>
        <v>18165</v>
      </c>
      <c r="L27" s="67">
        <f>1178*F27</f>
        <v>14136</v>
      </c>
      <c r="M27" s="67">
        <v>0</v>
      </c>
      <c r="N27" s="67">
        <f>O27/F27</f>
        <v>1513.75</v>
      </c>
      <c r="O27" s="126">
        <f>K27</f>
        <v>18165</v>
      </c>
      <c r="P27" s="67">
        <f>Q27/F27</f>
        <v>1178</v>
      </c>
      <c r="Q27" s="67">
        <f>L27</f>
        <v>14136</v>
      </c>
      <c r="R27" s="68">
        <v>0</v>
      </c>
      <c r="S27" s="78"/>
      <c r="T27" s="60"/>
      <c r="U27" s="60"/>
      <c r="V27" s="60"/>
      <c r="W27" s="60"/>
    </row>
    <row r="28" spans="1:23" ht="38.25" x14ac:dyDescent="0.2">
      <c r="A28" s="86" t="s">
        <v>80</v>
      </c>
      <c r="B28" s="69" t="s">
        <v>134</v>
      </c>
      <c r="C28" s="102" t="s">
        <v>145</v>
      </c>
      <c r="D28" s="102" t="s">
        <v>135</v>
      </c>
      <c r="E28" s="116" t="s">
        <v>73</v>
      </c>
      <c r="F28" s="116" t="s">
        <v>160</v>
      </c>
      <c r="G28" s="116" t="s">
        <v>70</v>
      </c>
      <c r="H28" s="67">
        <v>0</v>
      </c>
      <c r="I28" s="67">
        <f>22050*F28</f>
        <v>242550</v>
      </c>
      <c r="J28" s="67">
        <v>0</v>
      </c>
      <c r="K28" s="67">
        <f>22050*G28</f>
        <v>22050</v>
      </c>
      <c r="L28" s="67">
        <f>((944+47.24)*4)+((1014+48.29)*8)</f>
        <v>12463.279999999999</v>
      </c>
      <c r="M28" s="67">
        <v>0</v>
      </c>
      <c r="N28" s="67">
        <f>O28/F28</f>
        <v>2004.5454545454545</v>
      </c>
      <c r="O28" s="126">
        <f>K28</f>
        <v>22050</v>
      </c>
      <c r="P28" s="67">
        <f>Q28/F28</f>
        <v>1133.0254545454545</v>
      </c>
      <c r="Q28" s="67">
        <f>L28</f>
        <v>12463.279999999999</v>
      </c>
      <c r="R28" s="68">
        <v>0</v>
      </c>
      <c r="S28" s="78"/>
      <c r="T28" s="60"/>
      <c r="U28" s="60"/>
      <c r="V28" s="60"/>
      <c r="W28" s="60"/>
    </row>
    <row r="29" spans="1:23" ht="25.5" x14ac:dyDescent="0.2">
      <c r="A29" s="86" t="s">
        <v>81</v>
      </c>
      <c r="B29" s="66" t="s">
        <v>136</v>
      </c>
      <c r="C29" s="102" t="s">
        <v>145</v>
      </c>
      <c r="D29" s="102" t="s">
        <v>146</v>
      </c>
      <c r="E29" s="102" t="s">
        <v>73</v>
      </c>
      <c r="F29" s="102" t="s">
        <v>74</v>
      </c>
      <c r="G29" s="102" t="s">
        <v>70</v>
      </c>
      <c r="H29" s="67">
        <v>0</v>
      </c>
      <c r="I29" s="67">
        <f>22512*F29</f>
        <v>270144</v>
      </c>
      <c r="J29" s="67">
        <v>0</v>
      </c>
      <c r="K29" s="67">
        <v>0</v>
      </c>
      <c r="L29" s="67">
        <f>407*F29</f>
        <v>4884</v>
      </c>
      <c r="M29" s="67">
        <v>0</v>
      </c>
      <c r="N29" s="67"/>
      <c r="O29" s="126"/>
      <c r="P29" s="67">
        <f>Q29/F29</f>
        <v>407</v>
      </c>
      <c r="Q29" s="67">
        <f>L29</f>
        <v>4884</v>
      </c>
      <c r="R29" s="68">
        <v>0</v>
      </c>
      <c r="S29" s="78"/>
      <c r="T29" s="60"/>
      <c r="U29" s="60"/>
      <c r="V29" s="60"/>
      <c r="W29" s="60"/>
    </row>
    <row r="30" spans="1:23" s="110" customFormat="1" x14ac:dyDescent="0.2">
      <c r="A30" s="106"/>
      <c r="B30" s="107" t="s">
        <v>147</v>
      </c>
      <c r="C30" s="106"/>
      <c r="D30" s="106"/>
      <c r="E30" s="106"/>
      <c r="F30" s="73">
        <f>F27+F28+F29</f>
        <v>35</v>
      </c>
      <c r="G30" s="106"/>
      <c r="H30" s="72">
        <f t="shared" ref="H30:R30" si="6">SUM(H27:H29)</f>
        <v>0</v>
      </c>
      <c r="I30" s="72">
        <f t="shared" si="6"/>
        <v>659814</v>
      </c>
      <c r="J30" s="72">
        <f t="shared" si="6"/>
        <v>0</v>
      </c>
      <c r="K30" s="72">
        <f t="shared" si="6"/>
        <v>40215</v>
      </c>
      <c r="L30" s="72">
        <f t="shared" si="6"/>
        <v>31483.279999999999</v>
      </c>
      <c r="M30" s="72">
        <f t="shared" si="6"/>
        <v>0</v>
      </c>
      <c r="N30" s="72">
        <f t="shared" si="6"/>
        <v>3518.2954545454545</v>
      </c>
      <c r="O30" s="127">
        <f t="shared" si="6"/>
        <v>40215</v>
      </c>
      <c r="P30" s="72">
        <f t="shared" si="6"/>
        <v>2718.0254545454545</v>
      </c>
      <c r="Q30" s="72">
        <f t="shared" si="6"/>
        <v>31483.279999999999</v>
      </c>
      <c r="R30" s="72">
        <f t="shared" si="6"/>
        <v>0</v>
      </c>
      <c r="S30" s="108"/>
      <c r="T30" s="109"/>
      <c r="U30" s="109"/>
      <c r="V30" s="109"/>
      <c r="W30" s="109"/>
    </row>
    <row r="31" spans="1:23" x14ac:dyDescent="0.2">
      <c r="A31" s="86"/>
      <c r="B31" s="69"/>
      <c r="C31" s="86"/>
      <c r="D31" s="86"/>
      <c r="E31" s="86"/>
      <c r="F31" s="86"/>
      <c r="G31" s="86"/>
      <c r="H31" s="67"/>
      <c r="I31" s="67"/>
      <c r="J31" s="67"/>
      <c r="K31" s="67"/>
      <c r="L31" s="67"/>
      <c r="M31" s="67"/>
      <c r="N31" s="67"/>
      <c r="O31" s="126"/>
      <c r="P31" s="67"/>
      <c r="Q31" s="67"/>
      <c r="R31" s="68"/>
      <c r="S31" s="78"/>
      <c r="T31" s="60"/>
      <c r="U31" s="60"/>
      <c r="V31" s="60"/>
      <c r="W31" s="60"/>
    </row>
    <row r="32" spans="1:23" ht="38.25" x14ac:dyDescent="0.2">
      <c r="A32" s="86" t="s">
        <v>70</v>
      </c>
      <c r="B32" s="69" t="s">
        <v>134</v>
      </c>
      <c r="C32" s="102" t="s">
        <v>76</v>
      </c>
      <c r="D32" s="102" t="s">
        <v>156</v>
      </c>
      <c r="E32" s="116" t="s">
        <v>73</v>
      </c>
      <c r="F32" s="116" t="s">
        <v>74</v>
      </c>
      <c r="G32" s="116" t="s">
        <v>70</v>
      </c>
      <c r="H32" s="67">
        <v>0</v>
      </c>
      <c r="I32" s="67">
        <f>22050*F32</f>
        <v>264600</v>
      </c>
      <c r="J32" s="67">
        <v>0</v>
      </c>
      <c r="K32" s="67">
        <f>22050*G32</f>
        <v>22050</v>
      </c>
      <c r="L32" s="67">
        <f>4*991.24+7*1062.29</f>
        <v>11400.99</v>
      </c>
      <c r="M32" s="67">
        <v>0</v>
      </c>
      <c r="N32" s="67">
        <f>O32/F32</f>
        <v>1837.5</v>
      </c>
      <c r="O32" s="126">
        <f>K32</f>
        <v>22050</v>
      </c>
      <c r="P32" s="67">
        <f>Q32/F32</f>
        <v>950.08249999999998</v>
      </c>
      <c r="Q32" s="67">
        <f>L32</f>
        <v>11400.99</v>
      </c>
      <c r="R32" s="68">
        <v>0</v>
      </c>
      <c r="S32" s="79"/>
      <c r="T32" s="60"/>
      <c r="U32" s="60"/>
      <c r="V32" s="60"/>
      <c r="W32" s="60"/>
    </row>
    <row r="33" spans="1:23" ht="38.25" x14ac:dyDescent="0.2">
      <c r="A33" s="86" t="s">
        <v>80</v>
      </c>
      <c r="B33" s="69" t="s">
        <v>134</v>
      </c>
      <c r="C33" s="102" t="s">
        <v>76</v>
      </c>
      <c r="D33" s="102" t="s">
        <v>148</v>
      </c>
      <c r="E33" s="102" t="s">
        <v>73</v>
      </c>
      <c r="F33" s="102" t="s">
        <v>83</v>
      </c>
      <c r="G33" s="102" t="s">
        <v>70</v>
      </c>
      <c r="H33" s="67">
        <v>0</v>
      </c>
      <c r="I33" s="67">
        <f>22050*F33</f>
        <v>110250</v>
      </c>
      <c r="J33" s="67">
        <v>0</v>
      </c>
      <c r="K33" s="67">
        <f>22050*G33</f>
        <v>22050</v>
      </c>
      <c r="L33" s="67">
        <f>1*991.24+4*1062.29</f>
        <v>5240.3999999999996</v>
      </c>
      <c r="M33" s="67">
        <v>0</v>
      </c>
      <c r="N33" s="67">
        <f>O33/F33</f>
        <v>4410</v>
      </c>
      <c r="O33" s="126">
        <f>K33</f>
        <v>22050</v>
      </c>
      <c r="P33" s="67">
        <f>Q33/F33</f>
        <v>1048.08</v>
      </c>
      <c r="Q33" s="67">
        <f>L33</f>
        <v>5240.3999999999996</v>
      </c>
      <c r="R33" s="68">
        <v>0</v>
      </c>
      <c r="S33" s="79"/>
      <c r="T33" s="60"/>
      <c r="U33" s="60"/>
      <c r="V33" s="60"/>
      <c r="W33" s="60"/>
    </row>
    <row r="34" spans="1:23" x14ac:dyDescent="0.2">
      <c r="A34" s="61"/>
      <c r="B34" s="59" t="s">
        <v>77</v>
      </c>
      <c r="C34" s="59"/>
      <c r="D34" s="59"/>
      <c r="E34" s="71"/>
      <c r="F34" s="71">
        <f>F32+F33</f>
        <v>17</v>
      </c>
      <c r="G34" s="71"/>
      <c r="H34" s="72">
        <f>H32+H33</f>
        <v>0</v>
      </c>
      <c r="I34" s="72">
        <f t="shared" ref="I34:R34" si="7">I32+I33</f>
        <v>374850</v>
      </c>
      <c r="J34" s="72">
        <f t="shared" si="7"/>
        <v>0</v>
      </c>
      <c r="K34" s="72">
        <f t="shared" si="7"/>
        <v>44100</v>
      </c>
      <c r="L34" s="72">
        <f t="shared" si="7"/>
        <v>16641.39</v>
      </c>
      <c r="M34" s="72">
        <f t="shared" si="7"/>
        <v>0</v>
      </c>
      <c r="N34" s="72">
        <f t="shared" si="7"/>
        <v>6247.5</v>
      </c>
      <c r="O34" s="127">
        <f t="shared" si="7"/>
        <v>44100</v>
      </c>
      <c r="P34" s="72">
        <f t="shared" si="7"/>
        <v>1998.1624999999999</v>
      </c>
      <c r="Q34" s="72">
        <f t="shared" si="7"/>
        <v>16641.39</v>
      </c>
      <c r="R34" s="72">
        <f t="shared" si="7"/>
        <v>0</v>
      </c>
      <c r="S34" s="78"/>
    </row>
    <row r="35" spans="1:23" x14ac:dyDescent="0.2">
      <c r="A35" s="59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128"/>
      <c r="P35" s="74"/>
      <c r="Q35" s="74"/>
      <c r="R35" s="74"/>
      <c r="S35" s="78"/>
    </row>
    <row r="36" spans="1:23" x14ac:dyDescent="0.2">
      <c r="A36" s="74"/>
      <c r="B36" s="75" t="s">
        <v>78</v>
      </c>
      <c r="C36" s="75"/>
      <c r="D36" s="75"/>
      <c r="E36" s="75"/>
      <c r="F36" s="76">
        <f>F25+F30+F34</f>
        <v>182</v>
      </c>
      <c r="G36" s="75"/>
      <c r="H36" s="77">
        <f t="shared" ref="H36:R36" si="8">H25+H30+H34</f>
        <v>1665519.48</v>
      </c>
      <c r="I36" s="77">
        <f t="shared" si="8"/>
        <v>2279771</v>
      </c>
      <c r="J36" s="77">
        <f t="shared" si="8"/>
        <v>420412.48</v>
      </c>
      <c r="K36" s="77">
        <f t="shared" si="8"/>
        <v>144435.70000000001</v>
      </c>
      <c r="L36" s="77">
        <f t="shared" si="8"/>
        <v>408557.83999999997</v>
      </c>
      <c r="M36" s="77">
        <f t="shared" si="8"/>
        <v>54162.46</v>
      </c>
      <c r="N36" s="77">
        <f t="shared" si="8"/>
        <v>31696.895454545454</v>
      </c>
      <c r="O36" s="77">
        <f t="shared" si="8"/>
        <v>212641.7</v>
      </c>
      <c r="P36" s="77">
        <f t="shared" si="8"/>
        <v>72302.949318181825</v>
      </c>
      <c r="Q36" s="77">
        <f t="shared" si="8"/>
        <v>817376.06000000017</v>
      </c>
      <c r="R36" s="77">
        <f t="shared" si="8"/>
        <v>33450</v>
      </c>
      <c r="S36" s="78"/>
    </row>
    <row r="37" spans="1:23" x14ac:dyDescent="0.2">
      <c r="A37" s="80"/>
      <c r="O37" s="62"/>
    </row>
    <row r="38" spans="1:23" x14ac:dyDescent="0.2">
      <c r="O38" s="62"/>
    </row>
    <row r="39" spans="1:23" x14ac:dyDescent="0.2">
      <c r="O39" s="60"/>
    </row>
    <row r="42" spans="1:23" x14ac:dyDescent="0.2">
      <c r="O42" s="60"/>
    </row>
  </sheetData>
  <mergeCells count="30">
    <mergeCell ref="N10:N11"/>
    <mergeCell ref="A8:A11"/>
    <mergeCell ref="B8:B11"/>
    <mergeCell ref="C8:C11"/>
    <mergeCell ref="D8:D11"/>
    <mergeCell ref="E8:E11"/>
    <mergeCell ref="H8:K9"/>
    <mergeCell ref="L8:M9"/>
    <mergeCell ref="G9:G11"/>
    <mergeCell ref="H10:H11"/>
    <mergeCell ref="I10:I11"/>
    <mergeCell ref="J10:J11"/>
    <mergeCell ref="K10:K11"/>
    <mergeCell ref="M10:M11"/>
    <mergeCell ref="O10:O11"/>
    <mergeCell ref="P10:P11"/>
    <mergeCell ref="Q10:Q11"/>
    <mergeCell ref="A6:R6"/>
    <mergeCell ref="O1:R1"/>
    <mergeCell ref="O2:R2"/>
    <mergeCell ref="O3:R3"/>
    <mergeCell ref="O4:R4"/>
    <mergeCell ref="O5:S5"/>
    <mergeCell ref="S10:S11"/>
    <mergeCell ref="N8:O9"/>
    <mergeCell ref="P8:Q9"/>
    <mergeCell ref="R8:R11"/>
    <mergeCell ref="F9:F11"/>
    <mergeCell ref="L10:L11"/>
    <mergeCell ref="F8:G8"/>
  </mergeCells>
  <pageMargins left="0.7" right="0.7" top="0.75" bottom="0.75" header="0.3" footer="0.3"/>
  <pageSetup paperSize="9" scale="62" orientation="landscape" r:id="rId1"/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лето</vt:lpstr>
      <vt:lpstr>весна, осень</vt:lpstr>
      <vt:lpstr>твое призвание</vt:lpstr>
      <vt:lpstr>школа мол. актива (дневной)</vt:lpstr>
      <vt:lpstr>мы-патриоты (дневной)</vt:lpstr>
      <vt:lpstr>слет кадетов (дневной)</vt:lpstr>
      <vt:lpstr>путевки</vt:lpstr>
      <vt:lpstr>Лист4</vt:lpstr>
      <vt:lpstr>путевки!Область_печати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2018-01-09T12:49:34Z</dcterms:modified>
</cp:coreProperties>
</file>