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83" i="1"/>
  <c r="N34"/>
  <c r="N15" l="1"/>
  <c r="N65" l="1"/>
  <c r="N110" l="1"/>
  <c r="N108" s="1"/>
  <c r="O108"/>
  <c r="O60"/>
  <c r="O62"/>
  <c r="O98"/>
  <c r="O99"/>
  <c r="N99"/>
  <c r="N98"/>
  <c r="J33"/>
  <c r="I33"/>
  <c r="H64"/>
  <c r="N60"/>
  <c r="N62"/>
  <c r="O16"/>
  <c r="N16"/>
  <c r="O33" l="1"/>
  <c r="N33"/>
  <c r="M15"/>
  <c r="M79" l="1"/>
  <c r="M85"/>
  <c r="M84"/>
  <c r="M62"/>
  <c r="M60"/>
  <c r="M44"/>
  <c r="M43"/>
  <c r="M38"/>
  <c r="M37"/>
  <c r="M35"/>
  <c r="M30"/>
  <c r="M23"/>
  <c r="M21"/>
  <c r="M19"/>
  <c r="M16"/>
  <c r="M13" l="1"/>
  <c r="M101" l="1"/>
  <c r="M99"/>
  <c r="M98"/>
  <c r="M77"/>
  <c r="M52"/>
  <c r="M49"/>
  <c r="H112" l="1"/>
  <c r="H105"/>
  <c r="H95"/>
  <c r="H92"/>
  <c r="H91"/>
  <c r="H87"/>
  <c r="H85"/>
  <c r="H84"/>
  <c r="H79"/>
  <c r="H74"/>
  <c r="H71"/>
  <c r="H69"/>
  <c r="H67"/>
  <c r="H63"/>
  <c r="H57"/>
  <c r="H56"/>
  <c r="H52"/>
  <c r="H50"/>
  <c r="H48"/>
  <c r="H47"/>
  <c r="H45"/>
  <c r="H42"/>
  <c r="H41"/>
  <c r="H40"/>
  <c r="H28"/>
  <c r="H26"/>
  <c r="H24"/>
  <c r="H18"/>
  <c r="H17"/>
  <c r="H62"/>
  <c r="H60"/>
  <c r="M36"/>
  <c r="M33" s="1"/>
  <c r="O106"/>
  <c r="O101"/>
  <c r="O65"/>
  <c r="L83"/>
  <c r="L34"/>
  <c r="L15"/>
  <c r="L108"/>
  <c r="L99"/>
  <c r="L98"/>
  <c r="O96" l="1"/>
  <c r="H99"/>
  <c r="O13"/>
  <c r="L100"/>
  <c r="L61"/>
  <c r="H61" s="1"/>
  <c r="L38"/>
  <c r="L37"/>
  <c r="L35"/>
  <c r="L21"/>
  <c r="L32"/>
  <c r="H32" s="1"/>
  <c r="L30"/>
  <c r="L29"/>
  <c r="L22"/>
  <c r="L16"/>
  <c r="L89"/>
  <c r="J65"/>
  <c r="I65"/>
  <c r="L46"/>
  <c r="L44"/>
  <c r="J13"/>
  <c r="I13"/>
  <c r="L23"/>
  <c r="L103"/>
  <c r="L76"/>
  <c r="H76" s="1"/>
  <c r="L49"/>
  <c r="H49" s="1"/>
  <c r="O12" l="1"/>
  <c r="L94"/>
  <c r="H94" s="1"/>
  <c r="L81"/>
  <c r="L53"/>
  <c r="L43"/>
  <c r="L33" s="1"/>
  <c r="L13"/>
  <c r="L59"/>
  <c r="H59" s="1"/>
  <c r="L55"/>
  <c r="H55" s="1"/>
  <c r="M65"/>
  <c r="L65" l="1"/>
  <c r="N13"/>
  <c r="N106" l="1"/>
  <c r="N12" s="1"/>
  <c r="N101"/>
  <c r="N96"/>
  <c r="K108" l="1"/>
  <c r="H108" s="1"/>
  <c r="K103"/>
  <c r="H103" s="1"/>
  <c r="K100"/>
  <c r="H100" s="1"/>
  <c r="K93"/>
  <c r="H93" s="1"/>
  <c r="K89"/>
  <c r="H89" s="1"/>
  <c r="K83"/>
  <c r="H83" s="1"/>
  <c r="K81"/>
  <c r="H81" s="1"/>
  <c r="K80"/>
  <c r="H80" s="1"/>
  <c r="K77"/>
  <c r="H77" s="1"/>
  <c r="K73"/>
  <c r="H73" s="1"/>
  <c r="K51"/>
  <c r="H51" s="1"/>
  <c r="K44"/>
  <c r="H44" s="1"/>
  <c r="K43"/>
  <c r="H43" s="1"/>
  <c r="K38"/>
  <c r="H38" s="1"/>
  <c r="K37"/>
  <c r="H37" s="1"/>
  <c r="K36"/>
  <c r="H36" s="1"/>
  <c r="K35"/>
  <c r="H35" s="1"/>
  <c r="K34"/>
  <c r="K21"/>
  <c r="H21" s="1"/>
  <c r="K19"/>
  <c r="H19" s="1"/>
  <c r="K16"/>
  <c r="H16" s="1"/>
  <c r="K15"/>
  <c r="H15" s="1"/>
  <c r="K98"/>
  <c r="H98" s="1"/>
  <c r="K30"/>
  <c r="H30" s="1"/>
  <c r="K29"/>
  <c r="H29" s="1"/>
  <c r="K31"/>
  <c r="H31" s="1"/>
  <c r="K23"/>
  <c r="H23" s="1"/>
  <c r="K22"/>
  <c r="H22" s="1"/>
  <c r="H34" l="1"/>
  <c r="K53"/>
  <c r="H53" s="1"/>
  <c r="K46"/>
  <c r="K27"/>
  <c r="H27" s="1"/>
  <c r="K88"/>
  <c r="H88" s="1"/>
  <c r="J106"/>
  <c r="L106"/>
  <c r="M106"/>
  <c r="I106"/>
  <c r="J101"/>
  <c r="K101"/>
  <c r="L101"/>
  <c r="I101"/>
  <c r="J96"/>
  <c r="L96"/>
  <c r="M96"/>
  <c r="M12" s="1"/>
  <c r="I96"/>
  <c r="K33" l="1"/>
  <c r="H33"/>
  <c r="H46"/>
  <c r="H101"/>
  <c r="K13"/>
  <c r="H13" s="1"/>
  <c r="K65"/>
  <c r="H65" s="1"/>
  <c r="K96"/>
  <c r="H96" s="1"/>
  <c r="K106"/>
  <c r="H106" s="1"/>
  <c r="L12"/>
  <c r="I12"/>
  <c r="J12"/>
  <c r="K12" l="1"/>
  <c r="H12" s="1"/>
</calcChain>
</file>

<file path=xl/sharedStrings.xml><?xml version="1.0" encoding="utf-8"?>
<sst xmlns="http://schemas.openxmlformats.org/spreadsheetml/2006/main" count="495" uniqueCount="261">
  <si>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</si>
  <si>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</si>
  <si>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</si>
  <si>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</si>
  <si>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</si>
  <si>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</si>
  <si>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</si>
  <si>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</si>
  <si>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</si>
  <si>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</si>
  <si>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</si>
  <si>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</si>
  <si>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</si>
  <si>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</si>
  <si>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</si>
  <si>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</si>
  <si>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</si>
  <si>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</si>
  <si>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</si>
  <si>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</si>
  <si>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</si>
  <si>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</si>
  <si>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</si>
  <si>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</si>
  <si>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</si>
  <si>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</si>
  <si>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</si>
  <si>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</si>
  <si>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</si>
  <si>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</si>
  <si>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</si>
  <si>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</si>
  <si>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</si>
  <si>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</si>
  <si>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</si>
  <si>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</si>
  <si>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</si>
  <si>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</si>
  <si>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</si>
  <si>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</si>
  <si>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</si>
  <si>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</si>
  <si>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</si>
  <si>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</si>
  <si>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</si>
  <si>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</si>
  <si>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</si>
  <si>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</si>
  <si>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</si>
  <si>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</si>
  <si>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</si>
  <si>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</si>
  <si>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</si>
  <si>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</si>
  <si>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</si>
  <si>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</si>
  <si>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</si>
  <si>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</si>
  <si>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</si>
  <si>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</si>
  <si>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</si>
  <si>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</si>
  <si>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</si>
  <si>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</si>
  <si>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</si>
  <si>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</si>
  <si>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</si>
  <si>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</si>
  <si>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</si>
  <si>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</si>
  <si>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</si>
  <si>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</si>
  <si>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</si>
  <si>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</si>
  <si>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</si>
  <si>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</si>
  <si>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</si>
  <si>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</si>
  <si>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</si>
  <si>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</si>
  <si>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</si>
  <si>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</si>
  <si>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</si>
  <si>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</si>
  <si>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</si>
  <si>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</si>
  <si>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</si>
  <si>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</si>
  <si>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</si>
  <si>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</si>
  <si>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</si>
  <si>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</si>
  <si>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</si>
  <si>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</si>
  <si>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</si>
  <si>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</si>
  <si>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</si>
  <si>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</si>
  <si>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</si>
  <si>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</si>
  <si>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</si>
  <si>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</si>
  <si>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</si>
  <si>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</si>
  <si>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</si>
  <si>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</si>
  <si>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</si>
  <si>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</si>
  <si>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</si>
  <si>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</si>
  <si>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</si>
  <si>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</si>
  <si>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</si>
  <si>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</si>
  <si>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</si>
  <si>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</si>
  <si>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</si>
  <si>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</si>
  <si>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</si>
  <si>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</si>
  <si>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</si>
  <si>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</si>
  <si>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</si>
  <si>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</si>
  <si>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</si>
  <si>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</si>
  <si>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</si>
  <si>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</si>
  <si>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</si>
  <si>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</si>
  <si>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</si>
  <si>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</si>
  <si>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</si>
  <si>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</si>
  <si>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</si>
  <si>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</si>
  <si>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</si>
  <si>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</si>
  <si>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</si>
  <si>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</si>
  <si>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</si>
  <si>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</si>
  <si>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</si>
  <si>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</si>
  <si>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</si>
  <si>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</si>
  <si>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</si>
  <si>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</si>
  <si>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</si>
  <si>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</si>
  <si>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</si>
  <si>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</si>
  <si>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</si>
  <si>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</si>
  <si>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</si>
  <si>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</si>
  <si>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</si>
  <si>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</si>
  <si>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</si>
  <si>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</si>
  <si>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</si>
  <si>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</si>
  <si>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</si>
  <si>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</si>
  <si>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</si>
  <si>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</si>
  <si>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</si>
  <si>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</si>
  <si>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</si>
  <si>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</si>
  <si>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</si>
  <si>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</si>
  <si>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</si>
  <si>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</si>
  <si>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</si>
  <si>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</si>
  <si>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</si>
  <si>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</si>
  <si>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</si>
  <si>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</si>
  <si>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</si>
  <si>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</si>
  <si>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</si>
  <si>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</si>
  <si>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</si>
  <si>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</si>
  <si>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</si>
  <si>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</si>
  <si>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</si>
  <si>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</si>
  <si>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</si>
  <si>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</si>
  <si>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</si>
  <si>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</si>
  <si>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</si>
  <si>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</si>
  <si>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</si>
  <si>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</si>
  <si>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</si>
  <si>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</si>
  <si>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</si>
  <si>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</si>
  <si>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</si>
  <si>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</si>
  <si>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</si>
  <si>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</si>
  <si>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</si>
  <si>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</si>
  <si>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</si>
  <si>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</si>
  <si>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</si>
  <si>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</si>
  <si>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</si>
  <si>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</si>
  <si>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</si>
  <si>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</si>
  <si>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</si>
  <si>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</si>
  <si>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</si>
  <si>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</si>
  <si>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</si>
  <si>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</si>
  <si>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</si>
  <si>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</si>
  <si>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</si>
  <si>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</si>
  <si>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</si>
  <si>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</si>
  <si>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</si>
  <si>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</si>
  <si>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</si>
  <si>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</si>
  <si>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</si>
  <si>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</si>
  <si>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</si>
  <si>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</si>
  <si>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</si>
  <si>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</si>
  <si>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</si>
  <si>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</si>
  <si>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</si>
  <si>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</si>
  <si>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</si>
  <si>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</si>
  <si>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</si>
  <si>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</si>
  <si>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</si>
  <si>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</si>
  <si>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</si>
  <si>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</si>
  <si>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</si>
  <si>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</si>
  <si>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</si>
  <si>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Реализация народных проектов в сфере образования, прошедших отбор в рамках проекта "Народный бюджет"</t>
  </si>
  <si>
    <t>100</t>
  </si>
  <si>
    <t>800</t>
  </si>
  <si>
    <t>Субсидии на открытие дополнительных классов</t>
  </si>
  <si>
    <t>04 2 2У 00000</t>
  </si>
  <si>
    <t xml:space="preserve">"Приложение №4                            </t>
  </si>
  <si>
    <t>Мероприятия, связанные с повышением оплаты труда отдельных категорий работников в сфере образования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</si>
  <si>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 мая 2019 г. № 177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</si>
</sst>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2"/>
  <sheetViews>
    <sheetView tabSelected="1" topLeftCell="C1" zoomScaleNormal="100" workbookViewId="0">
      <selection activeCell="Q12" sqref="Q12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3" customWidth="1"/>
    <col min="14" max="15" width="14.42578125" style="37" customWidth="1"/>
    <col min="16" max="16384" width="8.85546875" style="1"/>
  </cols>
  <sheetData>
    <row r="1" spans="1:15" ht="15" customHeight="1">
      <c r="K1" s="73" t="s">
        <v>260</v>
      </c>
      <c r="L1" s="73"/>
      <c r="M1" s="73"/>
      <c r="N1" s="73"/>
      <c r="O1" s="73"/>
    </row>
    <row r="2" spans="1:15">
      <c r="K2" s="73"/>
      <c r="L2" s="73"/>
      <c r="M2" s="73"/>
      <c r="N2" s="73"/>
      <c r="O2" s="73"/>
    </row>
    <row r="3" spans="1:15" ht="30" customHeight="1">
      <c r="K3" s="73"/>
      <c r="L3" s="73"/>
      <c r="M3" s="73"/>
      <c r="N3" s="73"/>
      <c r="O3" s="73"/>
    </row>
    <row r="4" spans="1:15">
      <c r="K4" s="72"/>
      <c r="L4" s="72"/>
      <c r="M4" s="72"/>
      <c r="N4" s="72"/>
      <c r="O4" s="72"/>
    </row>
    <row r="5" spans="1:15" ht="15" customHeight="1">
      <c r="J5" s="66"/>
      <c r="K5" s="66"/>
      <c r="L5" s="71"/>
      <c r="M5" s="86" t="s">
        <v>258</v>
      </c>
      <c r="N5" s="86"/>
      <c r="O5" s="86"/>
    </row>
    <row r="6" spans="1:15" ht="30.6" customHeight="1">
      <c r="A6" s="25"/>
      <c r="B6" s="25"/>
      <c r="C6" s="25"/>
      <c r="D6" s="25"/>
      <c r="E6" s="25"/>
      <c r="F6" s="25"/>
      <c r="G6" s="25"/>
      <c r="H6" s="25"/>
      <c r="J6" s="67"/>
      <c r="K6" s="68"/>
      <c r="L6" s="87" t="s">
        <v>252</v>
      </c>
      <c r="M6" s="87"/>
      <c r="N6" s="87"/>
      <c r="O6" s="87"/>
    </row>
    <row r="7" spans="1:15">
      <c r="A7" s="25"/>
      <c r="B7" s="25"/>
      <c r="C7" s="25"/>
      <c r="D7" s="25"/>
      <c r="E7" s="25"/>
      <c r="F7" s="25"/>
      <c r="G7" s="25"/>
      <c r="H7" s="25"/>
      <c r="I7" s="25"/>
      <c r="J7" s="64"/>
      <c r="K7" s="64"/>
      <c r="L7" s="64"/>
      <c r="M7" s="65"/>
      <c r="N7" s="65"/>
      <c r="O7" s="65"/>
    </row>
    <row r="8" spans="1:15" ht="15.6" customHeight="1">
      <c r="A8" s="98" t="s">
        <v>215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75">
      <c r="A9" s="27"/>
      <c r="B9" s="27"/>
      <c r="C9" s="27"/>
      <c r="D9" s="27"/>
      <c r="E9" s="27"/>
      <c r="F9" s="27"/>
      <c r="G9" s="27"/>
      <c r="H9" s="27"/>
      <c r="I9" s="27"/>
      <c r="J9" s="27"/>
      <c r="K9" s="28"/>
      <c r="L9" s="28"/>
      <c r="M9" s="48"/>
      <c r="N9" s="28"/>
    </row>
    <row r="10" spans="1:15" s="3" customFormat="1" ht="13.9" customHeight="1">
      <c r="A10" s="93" t="s">
        <v>0</v>
      </c>
      <c r="B10" s="93" t="s">
        <v>1</v>
      </c>
      <c r="C10" s="93" t="s">
        <v>2</v>
      </c>
      <c r="D10" s="88" t="s">
        <v>3</v>
      </c>
      <c r="E10" s="89"/>
      <c r="F10" s="89"/>
      <c r="G10" s="90"/>
      <c r="H10" s="99" t="s">
        <v>8</v>
      </c>
      <c r="I10" s="99"/>
      <c r="J10" s="99"/>
      <c r="K10" s="99"/>
      <c r="L10" s="99"/>
      <c r="M10" s="99"/>
      <c r="N10" s="99"/>
      <c r="O10" s="99"/>
    </row>
    <row r="11" spans="1:15" s="3" customFormat="1" ht="37.5" customHeight="1">
      <c r="A11" s="94"/>
      <c r="B11" s="94"/>
      <c r="C11" s="94"/>
      <c r="D11" s="2" t="s">
        <v>4</v>
      </c>
      <c r="E11" s="2" t="s">
        <v>5</v>
      </c>
      <c r="F11" s="2" t="s">
        <v>6</v>
      </c>
      <c r="G11" s="2" t="s">
        <v>7</v>
      </c>
      <c r="H11" s="4" t="s">
        <v>9</v>
      </c>
      <c r="I11" s="5">
        <v>2014</v>
      </c>
      <c r="J11" s="5">
        <v>2015</v>
      </c>
      <c r="K11" s="20">
        <v>2016</v>
      </c>
      <c r="L11" s="32">
        <v>2017</v>
      </c>
      <c r="M11" s="49">
        <v>2018</v>
      </c>
      <c r="N11" s="32">
        <v>2019</v>
      </c>
      <c r="O11" s="32">
        <v>2020</v>
      </c>
    </row>
    <row r="12" spans="1:15" s="6" customFormat="1" ht="57">
      <c r="A12" s="7" t="s">
        <v>10</v>
      </c>
      <c r="B12" s="7" t="s">
        <v>11</v>
      </c>
      <c r="C12" s="7" t="s">
        <v>12</v>
      </c>
      <c r="D12" s="9">
        <v>975</v>
      </c>
      <c r="E12" s="9"/>
      <c r="F12" s="11" t="s">
        <v>13</v>
      </c>
      <c r="G12" s="9"/>
      <c r="H12" s="38">
        <f>SUM(I12:O12)</f>
        <v>2770655.0410000002</v>
      </c>
      <c r="I12" s="38">
        <f t="shared" ref="I12:L12" si="0">I13+I33+I65+I96+I101+I106</f>
        <v>386844.49999999994</v>
      </c>
      <c r="J12" s="38">
        <f t="shared" si="0"/>
        <v>390549</v>
      </c>
      <c r="K12" s="39">
        <f t="shared" si="0"/>
        <v>367367.45199999993</v>
      </c>
      <c r="L12" s="40">
        <f t="shared" si="0"/>
        <v>391577.39299999998</v>
      </c>
      <c r="M12" s="50">
        <f>M13+M33+M65+M96+M101+M106</f>
        <v>421945.16600000003</v>
      </c>
      <c r="N12" s="50">
        <f>N13+N33+N65+N96+N101+N106</f>
        <v>405987.30700000003</v>
      </c>
      <c r="O12" s="50">
        <f t="shared" ref="O12" si="1">O13+O33+O65+O96+O101+O106</f>
        <v>406384.223</v>
      </c>
    </row>
    <row r="13" spans="1:15" s="16" customFormat="1" ht="90">
      <c r="A13" s="22" t="s">
        <v>14</v>
      </c>
      <c r="B13" s="22" t="s">
        <v>15</v>
      </c>
      <c r="C13" s="22" t="s">
        <v>16</v>
      </c>
      <c r="D13" s="23"/>
      <c r="E13" s="23"/>
      <c r="F13" s="24" t="s">
        <v>17</v>
      </c>
      <c r="G13" s="23"/>
      <c r="H13" s="41">
        <f>SUM(I13:O13)</f>
        <v>960777.10099999991</v>
      </c>
      <c r="I13" s="41">
        <f>I15+I16+I17+I18+I19+I21+I22+I23+I24+I26+I27+I28+I29+I30+I31+I32</f>
        <v>140952.1</v>
      </c>
      <c r="J13" s="41">
        <f t="shared" ref="J13:O13" si="2">J15+J16+J17+J18+J19+J21+J22+J23+J24+J26+J27+J28+J29+J30+J31+J32</f>
        <v>119768.20000000003</v>
      </c>
      <c r="K13" s="41">
        <f t="shared" si="2"/>
        <v>126152.49199999998</v>
      </c>
      <c r="L13" s="41">
        <f t="shared" si="2"/>
        <v>134580.50699999998</v>
      </c>
      <c r="M13" s="51">
        <f>M15+M16+M17+M18+M19+M21+M22+M23+M24+M26+M27+M28+M29+M30+M31+M32</f>
        <v>151477.12099999998</v>
      </c>
      <c r="N13" s="41">
        <f t="shared" si="2"/>
        <v>143545.93300000002</v>
      </c>
      <c r="O13" s="41">
        <f t="shared" si="2"/>
        <v>144300.74800000002</v>
      </c>
    </row>
    <row r="14" spans="1:15" ht="30.75" customHeight="1">
      <c r="A14" s="8" t="s">
        <v>18</v>
      </c>
      <c r="B14" s="91" t="s">
        <v>19</v>
      </c>
      <c r="C14" s="92"/>
      <c r="D14" s="10"/>
      <c r="E14" s="10"/>
      <c r="F14" s="12"/>
      <c r="G14" s="10"/>
      <c r="H14" s="42"/>
      <c r="I14" s="42"/>
      <c r="J14" s="42"/>
      <c r="K14" s="43"/>
      <c r="L14" s="44"/>
      <c r="M14" s="52"/>
      <c r="N14" s="44"/>
      <c r="O14" s="44"/>
    </row>
    <row r="15" spans="1:15" ht="84.75" customHeight="1">
      <c r="A15" s="74" t="s">
        <v>20</v>
      </c>
      <c r="B15" s="8" t="s">
        <v>21</v>
      </c>
      <c r="C15" s="19" t="s">
        <v>12</v>
      </c>
      <c r="D15" s="10">
        <v>975</v>
      </c>
      <c r="E15" s="17" t="s">
        <v>22</v>
      </c>
      <c r="F15" s="18" t="s">
        <v>23</v>
      </c>
      <c r="G15" s="17" t="s">
        <v>24</v>
      </c>
      <c r="H15" s="42">
        <f>SUM(I15:O15)</f>
        <v>328188.75</v>
      </c>
      <c r="I15" s="42">
        <v>40844.6</v>
      </c>
      <c r="J15" s="42">
        <v>34832.400000000001</v>
      </c>
      <c r="K15" s="43">
        <f>40788.434</f>
        <v>40788.434000000001</v>
      </c>
      <c r="L15" s="44">
        <f>37667.7+352.4-124.891+6802.97+500.001+1822.15</f>
        <v>47020.329999999994</v>
      </c>
      <c r="M15" s="52">
        <f>47551.685</f>
        <v>47551.684999999998</v>
      </c>
      <c r="N15" s="44">
        <f>58862.508-573.715</f>
        <v>58288.793000000005</v>
      </c>
      <c r="O15" s="44">
        <v>58862.508000000002</v>
      </c>
    </row>
    <row r="16" spans="1:15" ht="85.5" customHeight="1">
      <c r="A16" s="76"/>
      <c r="B16" s="8" t="s">
        <v>25</v>
      </c>
      <c r="C16" s="19" t="s">
        <v>12</v>
      </c>
      <c r="D16" s="10">
        <v>975</v>
      </c>
      <c r="E16" s="17" t="s">
        <v>22</v>
      </c>
      <c r="F16" s="18" t="s">
        <v>32</v>
      </c>
      <c r="G16" s="17" t="s">
        <v>24</v>
      </c>
      <c r="H16" s="42">
        <f>SUM(I16:O16)</f>
        <v>571594.25699999998</v>
      </c>
      <c r="I16" s="42">
        <v>92730.4</v>
      </c>
      <c r="J16" s="42">
        <v>72773.3</v>
      </c>
      <c r="K16" s="43">
        <f>72275.827</f>
        <v>72275.827000000005</v>
      </c>
      <c r="L16" s="44">
        <f>74522-8.25-1500</f>
        <v>73013.75</v>
      </c>
      <c r="M16" s="52">
        <f>87277.6+8328.9</f>
        <v>95606.5</v>
      </c>
      <c r="N16" s="44">
        <f>79777.74+2784</f>
        <v>82561.740000000005</v>
      </c>
      <c r="O16" s="44">
        <f>79777.74+2855</f>
        <v>82632.740000000005</v>
      </c>
    </row>
    <row r="17" spans="1:15" ht="45">
      <c r="A17" s="74" t="s">
        <v>28</v>
      </c>
      <c r="B17" s="8" t="s">
        <v>194</v>
      </c>
      <c r="C17" s="8" t="s">
        <v>12</v>
      </c>
      <c r="D17" s="10"/>
      <c r="E17" s="17"/>
      <c r="F17" s="18"/>
      <c r="G17" s="17"/>
      <c r="H17" s="42">
        <f>SUM(I17:O17)</f>
        <v>0</v>
      </c>
      <c r="I17" s="42">
        <v>0</v>
      </c>
      <c r="J17" s="42">
        <v>0</v>
      </c>
      <c r="K17" s="43">
        <v>0</v>
      </c>
      <c r="L17" s="44">
        <v>0</v>
      </c>
      <c r="M17" s="52">
        <v>0</v>
      </c>
      <c r="N17" s="44">
        <v>0</v>
      </c>
      <c r="O17" s="44">
        <v>0</v>
      </c>
    </row>
    <row r="18" spans="1:15" ht="105">
      <c r="A18" s="76"/>
      <c r="B18" s="8" t="s">
        <v>26</v>
      </c>
      <c r="C18" s="8" t="s">
        <v>12</v>
      </c>
      <c r="D18" s="10">
        <v>975</v>
      </c>
      <c r="E18" s="17" t="s">
        <v>22</v>
      </c>
      <c r="F18" s="18" t="s">
        <v>27</v>
      </c>
      <c r="G18" s="17" t="s">
        <v>24</v>
      </c>
      <c r="H18" s="42">
        <f>SUM(I18:O18)</f>
        <v>103.2</v>
      </c>
      <c r="I18" s="42">
        <v>103.2</v>
      </c>
      <c r="J18" s="42">
        <v>0</v>
      </c>
      <c r="K18" s="43">
        <v>0</v>
      </c>
      <c r="L18" s="44">
        <v>0</v>
      </c>
      <c r="M18" s="52">
        <v>0</v>
      </c>
      <c r="N18" s="44">
        <v>0</v>
      </c>
      <c r="O18" s="44">
        <v>0</v>
      </c>
    </row>
    <row r="19" spans="1:15" ht="150">
      <c r="A19" s="8" t="s">
        <v>29</v>
      </c>
      <c r="B19" s="8" t="s">
        <v>30</v>
      </c>
      <c r="C19" s="8" t="s">
        <v>12</v>
      </c>
      <c r="D19" s="10">
        <v>975</v>
      </c>
      <c r="E19" s="17" t="s">
        <v>142</v>
      </c>
      <c r="F19" s="18" t="s">
        <v>31</v>
      </c>
      <c r="G19" s="17" t="s">
        <v>24</v>
      </c>
      <c r="H19" s="42">
        <f>SUM(I19:O19)</f>
        <v>25118.799999999999</v>
      </c>
      <c r="I19" s="42">
        <v>2540.1</v>
      </c>
      <c r="J19" s="42">
        <v>5781.6</v>
      </c>
      <c r="K19" s="43">
        <f>4317.4</f>
        <v>4317.3999999999996</v>
      </c>
      <c r="L19" s="44">
        <v>4544</v>
      </c>
      <c r="M19" s="52">
        <f>4168.5-1601.5</f>
        <v>2567</v>
      </c>
      <c r="N19" s="44">
        <v>2563.1999999999998</v>
      </c>
      <c r="O19" s="44">
        <v>2805.5</v>
      </c>
    </row>
    <row r="20" spans="1:15" ht="30.75" customHeight="1">
      <c r="A20" s="8" t="s">
        <v>18</v>
      </c>
      <c r="B20" s="91" t="s">
        <v>33</v>
      </c>
      <c r="C20" s="92"/>
      <c r="D20" s="10"/>
      <c r="E20" s="17"/>
      <c r="F20" s="18"/>
      <c r="G20" s="17"/>
      <c r="H20" s="42"/>
      <c r="I20" s="42"/>
      <c r="J20" s="42"/>
      <c r="K20" s="43"/>
      <c r="L20" s="44"/>
      <c r="M20" s="52"/>
      <c r="N20" s="44"/>
      <c r="O20" s="44"/>
    </row>
    <row r="21" spans="1:15" ht="45">
      <c r="A21" s="8" t="s">
        <v>34</v>
      </c>
      <c r="B21" s="8" t="s">
        <v>35</v>
      </c>
      <c r="C21" s="8" t="s">
        <v>12</v>
      </c>
      <c r="D21" s="10">
        <v>975</v>
      </c>
      <c r="E21" s="17" t="s">
        <v>22</v>
      </c>
      <c r="F21" s="18" t="s">
        <v>36</v>
      </c>
      <c r="G21" s="17" t="s">
        <v>24</v>
      </c>
      <c r="H21" s="42">
        <f>SUM(I21:O21)</f>
        <v>17466.337</v>
      </c>
      <c r="I21" s="42">
        <v>0</v>
      </c>
      <c r="J21" s="42">
        <v>2996.8</v>
      </c>
      <c r="K21" s="43">
        <f>5219.999</f>
        <v>5219.9989999999998</v>
      </c>
      <c r="L21" s="44">
        <f>2500-794.923+4884.641-249.26-339.872</f>
        <v>6000.5859999999993</v>
      </c>
      <c r="M21" s="52">
        <f>3249.496-0.544</f>
        <v>3248.9520000000002</v>
      </c>
      <c r="N21" s="44">
        <v>0</v>
      </c>
      <c r="O21" s="44">
        <v>0</v>
      </c>
    </row>
    <row r="22" spans="1:15" ht="45">
      <c r="A22" s="8" t="s">
        <v>37</v>
      </c>
      <c r="B22" s="8" t="s">
        <v>38</v>
      </c>
      <c r="C22" s="8" t="s">
        <v>12</v>
      </c>
      <c r="D22" s="10">
        <v>975</v>
      </c>
      <c r="E22" s="17" t="s">
        <v>22</v>
      </c>
      <c r="F22" s="18" t="s">
        <v>39</v>
      </c>
      <c r="G22" s="17" t="s">
        <v>24</v>
      </c>
      <c r="H22" s="42">
        <f>SUM(I22:O22)</f>
        <v>3677.45</v>
      </c>
      <c r="I22" s="42">
        <v>725</v>
      </c>
      <c r="J22" s="42">
        <v>730</v>
      </c>
      <c r="K22" s="43">
        <f>818</f>
        <v>818</v>
      </c>
      <c r="L22" s="44">
        <f>800-190+39.45+55</f>
        <v>704.45</v>
      </c>
      <c r="M22" s="52">
        <v>700</v>
      </c>
      <c r="N22" s="44">
        <v>0</v>
      </c>
      <c r="O22" s="44">
        <v>0</v>
      </c>
    </row>
    <row r="23" spans="1:15" ht="60">
      <c r="A23" s="74" t="s">
        <v>42</v>
      </c>
      <c r="B23" s="8" t="s">
        <v>40</v>
      </c>
      <c r="C23" s="8" t="s">
        <v>12</v>
      </c>
      <c r="D23" s="10">
        <v>975</v>
      </c>
      <c r="E23" s="17" t="s">
        <v>22</v>
      </c>
      <c r="F23" s="18" t="s">
        <v>43</v>
      </c>
      <c r="G23" s="17" t="s">
        <v>24</v>
      </c>
      <c r="H23" s="42">
        <f>SUM(I23:O23)</f>
        <v>5055.83</v>
      </c>
      <c r="I23" s="42">
        <v>865.4</v>
      </c>
      <c r="J23" s="42">
        <v>2124.6</v>
      </c>
      <c r="K23" s="43">
        <f>700.42</f>
        <v>700.42</v>
      </c>
      <c r="L23" s="44">
        <f>600-178.4-83.538-48.152+4</f>
        <v>293.91000000000003</v>
      </c>
      <c r="M23" s="52">
        <f>1046.5-4</f>
        <v>1042.5</v>
      </c>
      <c r="N23" s="44">
        <v>29</v>
      </c>
      <c r="O23" s="44">
        <v>0</v>
      </c>
    </row>
    <row r="24" spans="1:15" ht="60">
      <c r="A24" s="76"/>
      <c r="B24" s="8" t="s">
        <v>41</v>
      </c>
      <c r="C24" s="8" t="s">
        <v>12</v>
      </c>
      <c r="D24" s="10">
        <v>975</v>
      </c>
      <c r="E24" s="17" t="s">
        <v>22</v>
      </c>
      <c r="F24" s="18" t="s">
        <v>44</v>
      </c>
      <c r="G24" s="17" t="s">
        <v>24</v>
      </c>
      <c r="H24" s="42">
        <f>SUM(I24:O24)</f>
        <v>236.9</v>
      </c>
      <c r="I24" s="42">
        <v>236.9</v>
      </c>
      <c r="J24" s="42">
        <v>0</v>
      </c>
      <c r="K24" s="43">
        <v>0</v>
      </c>
      <c r="L24" s="44">
        <v>0</v>
      </c>
      <c r="M24" s="52">
        <v>0</v>
      </c>
      <c r="N24" s="44">
        <v>0</v>
      </c>
      <c r="O24" s="44">
        <v>0</v>
      </c>
    </row>
    <row r="25" spans="1:15" ht="30.75" customHeight="1">
      <c r="A25" s="8" t="s">
        <v>18</v>
      </c>
      <c r="B25" s="91" t="s">
        <v>45</v>
      </c>
      <c r="C25" s="92"/>
      <c r="D25" s="10"/>
      <c r="E25" s="17"/>
      <c r="F25" s="18"/>
      <c r="G25" s="17"/>
      <c r="H25" s="42"/>
      <c r="I25" s="42"/>
      <c r="J25" s="42"/>
      <c r="K25" s="43"/>
      <c r="L25" s="44"/>
      <c r="M25" s="52"/>
      <c r="N25" s="44"/>
      <c r="O25" s="44"/>
    </row>
    <row r="26" spans="1:15" ht="74.25" customHeight="1">
      <c r="A26" s="8" t="s">
        <v>46</v>
      </c>
      <c r="B26" s="8" t="s">
        <v>47</v>
      </c>
      <c r="C26" s="8" t="s">
        <v>12</v>
      </c>
      <c r="D26" s="10">
        <v>975</v>
      </c>
      <c r="E26" s="17" t="s">
        <v>22</v>
      </c>
      <c r="F26" s="18" t="s">
        <v>48</v>
      </c>
      <c r="G26" s="17" t="s">
        <v>52</v>
      </c>
      <c r="H26" s="42">
        <f t="shared" ref="H26:H53" si="3">SUM(I26:O26)</f>
        <v>55</v>
      </c>
      <c r="I26" s="42">
        <v>15</v>
      </c>
      <c r="J26" s="42">
        <v>15</v>
      </c>
      <c r="K26" s="43">
        <v>15</v>
      </c>
      <c r="L26" s="44">
        <v>5</v>
      </c>
      <c r="M26" s="52">
        <v>5</v>
      </c>
      <c r="N26" s="44">
        <v>0</v>
      </c>
      <c r="O26" s="44">
        <v>0</v>
      </c>
    </row>
    <row r="27" spans="1:15" ht="151.5" customHeight="1">
      <c r="A27" s="8" t="s">
        <v>49</v>
      </c>
      <c r="B27" s="8" t="s">
        <v>50</v>
      </c>
      <c r="C27" s="8" t="s">
        <v>12</v>
      </c>
      <c r="D27" s="10">
        <v>975</v>
      </c>
      <c r="E27" s="17" t="s">
        <v>22</v>
      </c>
      <c r="F27" s="18" t="s">
        <v>51</v>
      </c>
      <c r="G27" s="17" t="s">
        <v>202</v>
      </c>
      <c r="H27" s="42">
        <f t="shared" si="3"/>
        <v>986</v>
      </c>
      <c r="I27" s="42">
        <v>386</v>
      </c>
      <c r="J27" s="42">
        <v>310</v>
      </c>
      <c r="K27" s="43">
        <f>386-80-16</f>
        <v>290</v>
      </c>
      <c r="L27" s="44">
        <v>0</v>
      </c>
      <c r="M27" s="52">
        <v>0</v>
      </c>
      <c r="N27" s="44">
        <v>0</v>
      </c>
      <c r="O27" s="44">
        <v>0</v>
      </c>
    </row>
    <row r="28" spans="1:15" ht="45">
      <c r="A28" s="8" t="s">
        <v>55</v>
      </c>
      <c r="B28" s="8" t="s">
        <v>35</v>
      </c>
      <c r="C28" s="8" t="s">
        <v>12</v>
      </c>
      <c r="D28" s="10">
        <v>975</v>
      </c>
      <c r="E28" s="17" t="s">
        <v>22</v>
      </c>
      <c r="F28" s="18" t="s">
        <v>54</v>
      </c>
      <c r="G28" s="17" t="s">
        <v>24</v>
      </c>
      <c r="H28" s="42">
        <f t="shared" si="3"/>
        <v>1994.7</v>
      </c>
      <c r="I28" s="42">
        <v>1994.7</v>
      </c>
      <c r="J28" s="42">
        <v>0</v>
      </c>
      <c r="K28" s="43">
        <v>0</v>
      </c>
      <c r="L28" s="44">
        <v>0</v>
      </c>
      <c r="M28" s="52">
        <v>0</v>
      </c>
      <c r="N28" s="44">
        <v>0</v>
      </c>
      <c r="O28" s="44">
        <v>0</v>
      </c>
    </row>
    <row r="29" spans="1:15" ht="45">
      <c r="A29" s="8" t="s">
        <v>56</v>
      </c>
      <c r="B29" s="8" t="s">
        <v>57</v>
      </c>
      <c r="C29" s="8" t="s">
        <v>12</v>
      </c>
      <c r="D29" s="10">
        <v>975</v>
      </c>
      <c r="E29" s="17" t="s">
        <v>22</v>
      </c>
      <c r="F29" s="18" t="s">
        <v>197</v>
      </c>
      <c r="G29" s="17" t="s">
        <v>24</v>
      </c>
      <c r="H29" s="42">
        <f t="shared" si="3"/>
        <v>2974.393</v>
      </c>
      <c r="I29" s="42">
        <v>510.8</v>
      </c>
      <c r="J29" s="42">
        <v>117.4</v>
      </c>
      <c r="K29" s="43">
        <f>1293.548</f>
        <v>1293.548</v>
      </c>
      <c r="L29" s="44">
        <f>86.7+91.3+48.864+183.7-20+7.707</f>
        <v>398.27099999999996</v>
      </c>
      <c r="M29" s="52">
        <v>654.37400000000002</v>
      </c>
      <c r="N29" s="44">
        <v>0</v>
      </c>
      <c r="O29" s="44">
        <v>0</v>
      </c>
    </row>
    <row r="30" spans="1:15" ht="45">
      <c r="A30" s="8" t="s">
        <v>58</v>
      </c>
      <c r="B30" s="8" t="s">
        <v>59</v>
      </c>
      <c r="C30" s="8" t="s">
        <v>12</v>
      </c>
      <c r="D30" s="10">
        <v>975</v>
      </c>
      <c r="E30" s="17" t="s">
        <v>22</v>
      </c>
      <c r="F30" s="18" t="s">
        <v>60</v>
      </c>
      <c r="G30" s="17" t="s">
        <v>24</v>
      </c>
      <c r="H30" s="42">
        <f t="shared" si="3"/>
        <v>495.48399999999998</v>
      </c>
      <c r="I30" s="42">
        <v>0</v>
      </c>
      <c r="J30" s="42">
        <v>87.1</v>
      </c>
      <c r="K30" s="43">
        <f>103.864</f>
        <v>103.864</v>
      </c>
      <c r="L30" s="44">
        <f>113.5-13.29</f>
        <v>100.21000000000001</v>
      </c>
      <c r="M30" s="52">
        <f>106.6-5.49</f>
        <v>101.11</v>
      </c>
      <c r="N30" s="44">
        <v>103.2</v>
      </c>
      <c r="O30" s="44">
        <v>0</v>
      </c>
    </row>
    <row r="31" spans="1:15" ht="60">
      <c r="A31" s="8" t="s">
        <v>198</v>
      </c>
      <c r="B31" s="8" t="s">
        <v>205</v>
      </c>
      <c r="C31" s="8" t="s">
        <v>12</v>
      </c>
      <c r="D31" s="10">
        <v>975</v>
      </c>
      <c r="E31" s="17" t="s">
        <v>22</v>
      </c>
      <c r="F31" s="18" t="s">
        <v>199</v>
      </c>
      <c r="G31" s="17" t="s">
        <v>24</v>
      </c>
      <c r="H31" s="42">
        <f t="shared" si="3"/>
        <v>330</v>
      </c>
      <c r="I31" s="42">
        <v>0</v>
      </c>
      <c r="J31" s="42">
        <v>0</v>
      </c>
      <c r="K31" s="43">
        <f>200+30+100</f>
        <v>330</v>
      </c>
      <c r="L31" s="44">
        <v>0</v>
      </c>
      <c r="M31" s="52">
        <v>0</v>
      </c>
      <c r="N31" s="44">
        <v>0</v>
      </c>
      <c r="O31" s="44">
        <v>0</v>
      </c>
    </row>
    <row r="32" spans="1:15" ht="45">
      <c r="A32" s="8" t="s">
        <v>228</v>
      </c>
      <c r="B32" s="8" t="s">
        <v>229</v>
      </c>
      <c r="C32" s="8" t="s">
        <v>12</v>
      </c>
      <c r="D32" s="10">
        <v>975</v>
      </c>
      <c r="E32" s="17" t="s">
        <v>22</v>
      </c>
      <c r="F32" s="18" t="s">
        <v>230</v>
      </c>
      <c r="G32" s="17" t="s">
        <v>24</v>
      </c>
      <c r="H32" s="42">
        <f t="shared" si="3"/>
        <v>2500</v>
      </c>
      <c r="I32" s="42">
        <v>0</v>
      </c>
      <c r="J32" s="42">
        <v>0</v>
      </c>
      <c r="K32" s="43">
        <v>0</v>
      </c>
      <c r="L32" s="44">
        <f>1000+1500</f>
        <v>2500</v>
      </c>
      <c r="M32" s="52">
        <v>0</v>
      </c>
      <c r="N32" s="44">
        <v>0</v>
      </c>
      <c r="O32" s="44">
        <v>0</v>
      </c>
    </row>
    <row r="33" spans="1:15" ht="75">
      <c r="A33" s="13" t="s">
        <v>61</v>
      </c>
      <c r="B33" s="13" t="s">
        <v>62</v>
      </c>
      <c r="C33" s="13" t="s">
        <v>235</v>
      </c>
      <c r="D33" s="14"/>
      <c r="E33" s="14"/>
      <c r="F33" s="15" t="s">
        <v>63</v>
      </c>
      <c r="G33" s="14"/>
      <c r="H33" s="45">
        <f t="shared" si="3"/>
        <v>1520132.2519999999</v>
      </c>
      <c r="I33" s="41">
        <f>I34+I35+I36+I37+I38+I40+I43+I44+I45+I46+I47+I48+I49+I50+I51+I52+I55+I56+I57+I59+I53+I60+I62+I41+I42+I61+I63+I64</f>
        <v>204702.49999999997</v>
      </c>
      <c r="J33" s="41">
        <f t="shared" ref="J33:O33" si="4">J34+J35+J36+J37+J38+J40+J43+J44+J45+J46+J47+J48+J49+J50+J51+J52+J55+J56+J57+J59+J53+J60+J62+J41+J42+J61+J63+J64</f>
        <v>227518.4</v>
      </c>
      <c r="K33" s="41">
        <f t="shared" si="4"/>
        <v>203219.23499999996</v>
      </c>
      <c r="L33" s="41">
        <f t="shared" si="4"/>
        <v>219332.45399999997</v>
      </c>
      <c r="M33" s="41">
        <f t="shared" si="4"/>
        <v>228707.89600000004</v>
      </c>
      <c r="N33" s="41">
        <f t="shared" si="4"/>
        <v>218520.95299999998</v>
      </c>
      <c r="O33" s="41">
        <f t="shared" si="4"/>
        <v>218130.81400000001</v>
      </c>
    </row>
    <row r="34" spans="1:15" ht="60">
      <c r="A34" s="74" t="s">
        <v>66</v>
      </c>
      <c r="B34" s="8" t="s">
        <v>64</v>
      </c>
      <c r="C34" s="8" t="s">
        <v>12</v>
      </c>
      <c r="D34" s="10">
        <v>975</v>
      </c>
      <c r="E34" s="17" t="s">
        <v>22</v>
      </c>
      <c r="F34" s="18" t="s">
        <v>67</v>
      </c>
      <c r="G34" s="17" t="s">
        <v>24</v>
      </c>
      <c r="H34" s="42">
        <f t="shared" si="3"/>
        <v>315599.77500000002</v>
      </c>
      <c r="I34" s="42">
        <v>42550</v>
      </c>
      <c r="J34" s="42">
        <v>38472.800000000003</v>
      </c>
      <c r="K34" s="43">
        <f>47329.332</f>
        <v>47329.332000000002</v>
      </c>
      <c r="L34" s="44">
        <f>41455.89+857.2+5115.523-74.6-30-108.119-2320.56+445.004+13734.45</f>
        <v>59074.788</v>
      </c>
      <c r="M34" s="52">
        <v>43904.408000000003</v>
      </c>
      <c r="N34" s="44">
        <f>40952.054+2860.162-495.823</f>
        <v>43316.392999999996</v>
      </c>
      <c r="O34" s="44">
        <v>40952.053999999996</v>
      </c>
    </row>
    <row r="35" spans="1:15" ht="85.5" customHeight="1">
      <c r="A35" s="76"/>
      <c r="B35" s="8" t="s">
        <v>65</v>
      </c>
      <c r="C35" s="8" t="s">
        <v>12</v>
      </c>
      <c r="D35" s="10">
        <v>975</v>
      </c>
      <c r="E35" s="17" t="s">
        <v>22</v>
      </c>
      <c r="F35" s="18" t="s">
        <v>68</v>
      </c>
      <c r="G35" s="17" t="s">
        <v>207</v>
      </c>
      <c r="H35" s="42">
        <f t="shared" si="3"/>
        <v>1078299.642</v>
      </c>
      <c r="I35" s="42">
        <v>141469.29999999999</v>
      </c>
      <c r="J35" s="42">
        <v>149482.4</v>
      </c>
      <c r="K35" s="43">
        <f>142133.572</f>
        <v>142133.57199999999</v>
      </c>
      <c r="L35" s="44">
        <f>139751.8-256.85+1500</f>
        <v>140994.94999999998</v>
      </c>
      <c r="M35" s="52">
        <f>170279.6-283.5</f>
        <v>169996.1</v>
      </c>
      <c r="N35" s="44">
        <v>165643.06</v>
      </c>
      <c r="O35" s="44">
        <v>168580.26</v>
      </c>
    </row>
    <row r="36" spans="1:15" ht="165">
      <c r="A36" s="8" t="s">
        <v>234</v>
      </c>
      <c r="B36" s="8" t="s">
        <v>69</v>
      </c>
      <c r="C36" s="8" t="s">
        <v>12</v>
      </c>
      <c r="D36" s="10">
        <v>975</v>
      </c>
      <c r="E36" s="17" t="s">
        <v>142</v>
      </c>
      <c r="F36" s="18" t="s">
        <v>70</v>
      </c>
      <c r="G36" s="17" t="s">
        <v>24</v>
      </c>
      <c r="H36" s="42">
        <f t="shared" si="3"/>
        <v>3162.4</v>
      </c>
      <c r="I36" s="42">
        <v>375.8</v>
      </c>
      <c r="J36" s="42">
        <v>569</v>
      </c>
      <c r="K36" s="43">
        <f>562.1</f>
        <v>562.1</v>
      </c>
      <c r="L36" s="44">
        <v>558.5</v>
      </c>
      <c r="M36" s="52">
        <f>360</f>
        <v>360</v>
      </c>
      <c r="N36" s="44">
        <v>357</v>
      </c>
      <c r="O36" s="44">
        <v>380</v>
      </c>
    </row>
    <row r="37" spans="1:15" ht="45">
      <c r="A37" s="8" t="s">
        <v>71</v>
      </c>
      <c r="B37" s="8" t="s">
        <v>59</v>
      </c>
      <c r="C37" s="8" t="s">
        <v>12</v>
      </c>
      <c r="D37" s="10">
        <v>975</v>
      </c>
      <c r="E37" s="17" t="s">
        <v>22</v>
      </c>
      <c r="F37" s="18" t="s">
        <v>72</v>
      </c>
      <c r="G37" s="17" t="s">
        <v>24</v>
      </c>
      <c r="H37" s="42">
        <f t="shared" si="3"/>
        <v>5986.4510000000009</v>
      </c>
      <c r="I37" s="42">
        <v>1232.5999999999999</v>
      </c>
      <c r="J37" s="42">
        <v>1180.2</v>
      </c>
      <c r="K37" s="43">
        <f>1130.527</f>
        <v>1130.527</v>
      </c>
      <c r="L37" s="44">
        <f>1140.5-167.334</f>
        <v>973.16599999999994</v>
      </c>
      <c r="M37" s="52">
        <f>831.82-22.862</f>
        <v>808.95800000000008</v>
      </c>
      <c r="N37" s="44">
        <v>661</v>
      </c>
      <c r="O37" s="44">
        <v>0</v>
      </c>
    </row>
    <row r="38" spans="1:15" ht="45">
      <c r="A38" s="74" t="s">
        <v>73</v>
      </c>
      <c r="B38" s="8" t="s">
        <v>74</v>
      </c>
      <c r="C38" s="8" t="s">
        <v>12</v>
      </c>
      <c r="D38" s="10">
        <v>975</v>
      </c>
      <c r="E38" s="17" t="s">
        <v>22</v>
      </c>
      <c r="F38" s="18" t="s">
        <v>76</v>
      </c>
      <c r="G38" s="17" t="s">
        <v>208</v>
      </c>
      <c r="H38" s="42">
        <f t="shared" si="3"/>
        <v>9766.0370000000003</v>
      </c>
      <c r="I38" s="42">
        <v>964.4</v>
      </c>
      <c r="J38" s="42">
        <v>3377.9</v>
      </c>
      <c r="K38" s="43">
        <f>1620.681</f>
        <v>1620.681</v>
      </c>
      <c r="L38" s="44">
        <f>607.609+668.887-0.4+59.97+100.772</f>
        <v>1436.838</v>
      </c>
      <c r="M38" s="52">
        <f>2376.18-9.962</f>
        <v>2366.2179999999998</v>
      </c>
      <c r="N38" s="44">
        <v>0</v>
      </c>
      <c r="O38" s="44">
        <v>0</v>
      </c>
    </row>
    <row r="39" spans="1:15" s="58" customFormat="1" ht="45">
      <c r="A39" s="75"/>
      <c r="B39" s="59"/>
      <c r="C39" s="59" t="s">
        <v>12</v>
      </c>
      <c r="D39" s="60">
        <v>975</v>
      </c>
      <c r="E39" s="61" t="s">
        <v>22</v>
      </c>
      <c r="F39" s="62" t="s">
        <v>251</v>
      </c>
      <c r="G39" s="61" t="s">
        <v>208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52">
        <v>0</v>
      </c>
      <c r="N39" s="52">
        <v>0</v>
      </c>
      <c r="O39" s="52">
        <v>0</v>
      </c>
    </row>
    <row r="40" spans="1:15" ht="60">
      <c r="A40" s="75"/>
      <c r="B40" s="8" t="s">
        <v>75</v>
      </c>
      <c r="C40" s="8" t="s">
        <v>12</v>
      </c>
      <c r="D40" s="10">
        <v>975</v>
      </c>
      <c r="E40" s="17" t="s">
        <v>22</v>
      </c>
      <c r="F40" s="18" t="s">
        <v>77</v>
      </c>
      <c r="G40" s="17" t="s">
        <v>24</v>
      </c>
      <c r="H40" s="42">
        <f t="shared" si="3"/>
        <v>11078</v>
      </c>
      <c r="I40" s="42">
        <v>0</v>
      </c>
      <c r="J40" s="42">
        <v>11078</v>
      </c>
      <c r="K40" s="43">
        <v>0</v>
      </c>
      <c r="L40" s="44">
        <v>0</v>
      </c>
      <c r="M40" s="52">
        <v>0</v>
      </c>
      <c r="N40" s="44">
        <v>0</v>
      </c>
      <c r="O40" s="44">
        <v>0</v>
      </c>
    </row>
    <row r="41" spans="1:15" s="36" customFormat="1" ht="75">
      <c r="A41" s="75"/>
      <c r="B41" s="31" t="s">
        <v>231</v>
      </c>
      <c r="C41" s="31" t="s">
        <v>12</v>
      </c>
      <c r="D41" s="33">
        <v>975</v>
      </c>
      <c r="E41" s="34" t="s">
        <v>22</v>
      </c>
      <c r="F41" s="35" t="s">
        <v>238</v>
      </c>
      <c r="G41" s="34" t="s">
        <v>24</v>
      </c>
      <c r="H41" s="46">
        <f t="shared" si="3"/>
        <v>454.5</v>
      </c>
      <c r="I41" s="46">
        <v>0</v>
      </c>
      <c r="J41" s="46">
        <v>0</v>
      </c>
      <c r="K41" s="43">
        <v>0</v>
      </c>
      <c r="L41" s="43">
        <v>233.9</v>
      </c>
      <c r="M41" s="43">
        <v>220.6</v>
      </c>
      <c r="N41" s="43">
        <v>0</v>
      </c>
      <c r="O41" s="43">
        <v>0</v>
      </c>
    </row>
    <row r="42" spans="1:15" s="36" customFormat="1" ht="75">
      <c r="A42" s="76"/>
      <c r="B42" s="31" t="s">
        <v>231</v>
      </c>
      <c r="C42" s="31" t="s">
        <v>12</v>
      </c>
      <c r="D42" s="33">
        <v>975</v>
      </c>
      <c r="E42" s="34" t="s">
        <v>22</v>
      </c>
      <c r="F42" s="35" t="s">
        <v>238</v>
      </c>
      <c r="G42" s="34" t="s">
        <v>24</v>
      </c>
      <c r="H42" s="46">
        <f t="shared" si="3"/>
        <v>300.512</v>
      </c>
      <c r="I42" s="46">
        <v>0</v>
      </c>
      <c r="J42" s="46">
        <v>0</v>
      </c>
      <c r="K42" s="43">
        <v>0</v>
      </c>
      <c r="L42" s="43">
        <v>26</v>
      </c>
      <c r="M42" s="43">
        <v>274.512</v>
      </c>
      <c r="N42" s="43">
        <v>0</v>
      </c>
      <c r="O42" s="43">
        <v>0</v>
      </c>
    </row>
    <row r="43" spans="1:15" ht="45">
      <c r="A43" s="8" t="s">
        <v>79</v>
      </c>
      <c r="B43" s="8" t="s">
        <v>210</v>
      </c>
      <c r="C43" s="8" t="s">
        <v>12</v>
      </c>
      <c r="D43" s="10">
        <v>975</v>
      </c>
      <c r="E43" s="17" t="s">
        <v>22</v>
      </c>
      <c r="F43" s="18" t="s">
        <v>78</v>
      </c>
      <c r="G43" s="17" t="s">
        <v>24</v>
      </c>
      <c r="H43" s="42">
        <f t="shared" si="3"/>
        <v>20337.527999999998</v>
      </c>
      <c r="I43" s="42">
        <v>6540.9</v>
      </c>
      <c r="J43" s="42">
        <v>11784.1</v>
      </c>
      <c r="K43" s="43">
        <f>1516.743</f>
        <v>1516.7429999999999</v>
      </c>
      <c r="L43" s="44">
        <f>2341.1-1948.93-392-0.17</f>
        <v>-1.5462631175466868E-13</v>
      </c>
      <c r="M43" s="52">
        <f>499-3.215</f>
        <v>495.78500000000003</v>
      </c>
      <c r="N43" s="44">
        <v>0</v>
      </c>
      <c r="O43" s="44">
        <v>0</v>
      </c>
    </row>
    <row r="44" spans="1:15" ht="60">
      <c r="A44" s="74" t="s">
        <v>80</v>
      </c>
      <c r="B44" s="8" t="s">
        <v>203</v>
      </c>
      <c r="C44" s="8" t="s">
        <v>12</v>
      </c>
      <c r="D44" s="10">
        <v>975</v>
      </c>
      <c r="E44" s="17" t="s">
        <v>22</v>
      </c>
      <c r="F44" s="18" t="s">
        <v>82</v>
      </c>
      <c r="G44" s="17" t="s">
        <v>24</v>
      </c>
      <c r="H44" s="42">
        <f t="shared" si="3"/>
        <v>8627.9189999999999</v>
      </c>
      <c r="I44" s="42">
        <v>2868.4</v>
      </c>
      <c r="J44" s="42">
        <v>1546.8</v>
      </c>
      <c r="K44" s="43">
        <f>760.68</f>
        <v>760.68</v>
      </c>
      <c r="L44" s="44">
        <f>50+1417.083+23.119+129.03</f>
        <v>1619.232</v>
      </c>
      <c r="M44" s="52">
        <f>1767.95+39.857</f>
        <v>1807.807</v>
      </c>
      <c r="N44" s="44">
        <v>25</v>
      </c>
      <c r="O44" s="44">
        <v>0</v>
      </c>
    </row>
    <row r="45" spans="1:15" ht="60">
      <c r="A45" s="76"/>
      <c r="B45" s="8" t="s">
        <v>81</v>
      </c>
      <c r="C45" s="8" t="s">
        <v>12</v>
      </c>
      <c r="D45" s="10">
        <v>975</v>
      </c>
      <c r="E45" s="17" t="s">
        <v>22</v>
      </c>
      <c r="F45" s="18" t="s">
        <v>77</v>
      </c>
      <c r="G45" s="17" t="s">
        <v>24</v>
      </c>
      <c r="H45" s="42">
        <f t="shared" si="3"/>
        <v>165.1</v>
      </c>
      <c r="I45" s="42">
        <v>165.1</v>
      </c>
      <c r="J45" s="42">
        <v>0</v>
      </c>
      <c r="K45" s="43">
        <v>0</v>
      </c>
      <c r="L45" s="44">
        <v>0</v>
      </c>
      <c r="M45" s="52">
        <v>0</v>
      </c>
      <c r="N45" s="44">
        <v>0</v>
      </c>
      <c r="O45" s="44">
        <v>0</v>
      </c>
    </row>
    <row r="46" spans="1:15" ht="45">
      <c r="A46" s="8" t="s">
        <v>83</v>
      </c>
      <c r="B46" s="8" t="s">
        <v>211</v>
      </c>
      <c r="C46" s="8" t="s">
        <v>12</v>
      </c>
      <c r="D46" s="10">
        <v>975</v>
      </c>
      <c r="E46" s="17" t="s">
        <v>22</v>
      </c>
      <c r="F46" s="18" t="s">
        <v>84</v>
      </c>
      <c r="G46" s="17" t="s">
        <v>24</v>
      </c>
      <c r="H46" s="42">
        <f t="shared" si="3"/>
        <v>6286.1080000000002</v>
      </c>
      <c r="I46" s="42">
        <v>1160</v>
      </c>
      <c r="J46" s="42">
        <v>1195</v>
      </c>
      <c r="K46" s="43">
        <f>1255-150+100</f>
        <v>1205</v>
      </c>
      <c r="L46" s="44">
        <f>1000-302.6-80+23</f>
        <v>640.4</v>
      </c>
      <c r="M46" s="52">
        <v>2085.7080000000001</v>
      </c>
      <c r="N46" s="44">
        <v>0</v>
      </c>
      <c r="O46" s="44">
        <v>0</v>
      </c>
    </row>
    <row r="47" spans="1:15" ht="90">
      <c r="A47" s="8" t="s">
        <v>85</v>
      </c>
      <c r="B47" s="8" t="s">
        <v>86</v>
      </c>
      <c r="C47" s="8" t="s">
        <v>12</v>
      </c>
      <c r="D47" s="10">
        <v>975</v>
      </c>
      <c r="E47" s="17" t="s">
        <v>22</v>
      </c>
      <c r="F47" s="18" t="s">
        <v>87</v>
      </c>
      <c r="G47" s="17" t="s">
        <v>88</v>
      </c>
      <c r="H47" s="42">
        <f t="shared" si="3"/>
        <v>0</v>
      </c>
      <c r="I47" s="42">
        <v>0</v>
      </c>
      <c r="J47" s="42">
        <v>0</v>
      </c>
      <c r="K47" s="43">
        <v>0</v>
      </c>
      <c r="L47" s="44">
        <v>0</v>
      </c>
      <c r="M47" s="52">
        <v>0</v>
      </c>
      <c r="N47" s="44">
        <v>0</v>
      </c>
      <c r="O47" s="44">
        <v>0</v>
      </c>
    </row>
    <row r="48" spans="1:15" ht="45">
      <c r="A48" s="8" t="s">
        <v>89</v>
      </c>
      <c r="B48" s="8" t="s">
        <v>74</v>
      </c>
      <c r="C48" s="8" t="s">
        <v>12</v>
      </c>
      <c r="D48" s="10">
        <v>975</v>
      </c>
      <c r="E48" s="17" t="s">
        <v>22</v>
      </c>
      <c r="F48" s="18" t="s">
        <v>90</v>
      </c>
      <c r="G48" s="17" t="s">
        <v>24</v>
      </c>
      <c r="H48" s="42">
        <f t="shared" si="3"/>
        <v>0</v>
      </c>
      <c r="I48" s="42">
        <v>0</v>
      </c>
      <c r="J48" s="42">
        <v>0</v>
      </c>
      <c r="K48" s="43">
        <v>0</v>
      </c>
      <c r="L48" s="44">
        <v>0</v>
      </c>
      <c r="M48" s="52">
        <v>0</v>
      </c>
      <c r="N48" s="44">
        <v>0</v>
      </c>
      <c r="O48" s="44">
        <v>0</v>
      </c>
    </row>
    <row r="49" spans="1:15" ht="45">
      <c r="A49" s="8" t="s">
        <v>91</v>
      </c>
      <c r="B49" s="8" t="s">
        <v>92</v>
      </c>
      <c r="C49" s="8" t="s">
        <v>12</v>
      </c>
      <c r="D49" s="10">
        <v>975</v>
      </c>
      <c r="E49" s="17" t="s">
        <v>22</v>
      </c>
      <c r="F49" s="18" t="s">
        <v>93</v>
      </c>
      <c r="G49" s="17" t="s">
        <v>52</v>
      </c>
      <c r="H49" s="42">
        <f t="shared" si="3"/>
        <v>76.179999999999993</v>
      </c>
      <c r="I49" s="42">
        <v>18.899999999999999</v>
      </c>
      <c r="J49" s="42">
        <v>17.399999999999999</v>
      </c>
      <c r="K49" s="43">
        <v>18.899999999999999</v>
      </c>
      <c r="L49" s="44">
        <f>9-0.02</f>
        <v>8.98</v>
      </c>
      <c r="M49" s="52">
        <f>12</f>
        <v>12</v>
      </c>
      <c r="N49" s="44">
        <v>0</v>
      </c>
      <c r="O49" s="44">
        <v>0</v>
      </c>
    </row>
    <row r="50" spans="1:15" ht="45">
      <c r="A50" s="8" t="s">
        <v>94</v>
      </c>
      <c r="B50" s="8" t="s">
        <v>95</v>
      </c>
      <c r="C50" s="8" t="s">
        <v>12</v>
      </c>
      <c r="D50" s="10">
        <v>975</v>
      </c>
      <c r="E50" s="17" t="s">
        <v>22</v>
      </c>
      <c r="F50" s="18" t="s">
        <v>96</v>
      </c>
      <c r="G50" s="17" t="s">
        <v>52</v>
      </c>
      <c r="H50" s="42">
        <f t="shared" si="3"/>
        <v>0</v>
      </c>
      <c r="I50" s="42">
        <v>0</v>
      </c>
      <c r="J50" s="42">
        <v>0</v>
      </c>
      <c r="K50" s="43">
        <v>0</v>
      </c>
      <c r="L50" s="44">
        <v>0</v>
      </c>
      <c r="M50" s="52">
        <v>0</v>
      </c>
      <c r="N50" s="44">
        <v>0</v>
      </c>
      <c r="O50" s="44">
        <v>0</v>
      </c>
    </row>
    <row r="51" spans="1:15" ht="180">
      <c r="A51" s="8" t="s">
        <v>97</v>
      </c>
      <c r="B51" s="8" t="s">
        <v>195</v>
      </c>
      <c r="C51" s="8" t="s">
        <v>12</v>
      </c>
      <c r="D51" s="10">
        <v>975</v>
      </c>
      <c r="E51" s="17" t="s">
        <v>22</v>
      </c>
      <c r="F51" s="18" t="s">
        <v>98</v>
      </c>
      <c r="G51" s="17" t="s">
        <v>99</v>
      </c>
      <c r="H51" s="42">
        <f t="shared" si="3"/>
        <v>1306.6999999999998</v>
      </c>
      <c r="I51" s="42">
        <v>494.9</v>
      </c>
      <c r="J51" s="42">
        <v>490.9</v>
      </c>
      <c r="K51" s="43">
        <f>320.9</f>
        <v>320.89999999999998</v>
      </c>
      <c r="L51" s="44">
        <v>0</v>
      </c>
      <c r="M51" s="52">
        <v>0</v>
      </c>
      <c r="N51" s="44">
        <v>0</v>
      </c>
      <c r="O51" s="44">
        <v>0</v>
      </c>
    </row>
    <row r="52" spans="1:15" ht="180">
      <c r="A52" s="8" t="s">
        <v>100</v>
      </c>
      <c r="B52" s="8" t="s">
        <v>101</v>
      </c>
      <c r="C52" s="8" t="s">
        <v>12</v>
      </c>
      <c r="D52" s="10">
        <v>975</v>
      </c>
      <c r="E52" s="17" t="s">
        <v>22</v>
      </c>
      <c r="F52" s="18" t="s">
        <v>102</v>
      </c>
      <c r="G52" s="17" t="s">
        <v>103</v>
      </c>
      <c r="H52" s="42">
        <f t="shared" si="3"/>
        <v>389.8</v>
      </c>
      <c r="I52" s="42">
        <v>135</v>
      </c>
      <c r="J52" s="42">
        <v>83.8</v>
      </c>
      <c r="K52" s="43">
        <v>145</v>
      </c>
      <c r="L52" s="44">
        <v>13</v>
      </c>
      <c r="M52" s="52">
        <f>13</f>
        <v>13</v>
      </c>
      <c r="N52" s="44">
        <v>0</v>
      </c>
      <c r="O52" s="44">
        <v>0</v>
      </c>
    </row>
    <row r="53" spans="1:15" ht="60">
      <c r="A53" s="8" t="s">
        <v>201</v>
      </c>
      <c r="B53" s="8" t="s">
        <v>204</v>
      </c>
      <c r="C53" s="8" t="s">
        <v>12</v>
      </c>
      <c r="D53" s="10">
        <v>975</v>
      </c>
      <c r="E53" s="17" t="s">
        <v>22</v>
      </c>
      <c r="F53" s="18" t="s">
        <v>200</v>
      </c>
      <c r="G53" s="17" t="s">
        <v>24</v>
      </c>
      <c r="H53" s="42">
        <f t="shared" si="3"/>
        <v>225</v>
      </c>
      <c r="I53" s="42">
        <v>0</v>
      </c>
      <c r="J53" s="42">
        <v>0</v>
      </c>
      <c r="K53" s="43">
        <f>105+90</f>
        <v>195</v>
      </c>
      <c r="L53" s="44">
        <f>30</f>
        <v>30</v>
      </c>
      <c r="M53" s="52">
        <v>0</v>
      </c>
      <c r="N53" s="44">
        <v>0</v>
      </c>
      <c r="O53" s="44">
        <v>0</v>
      </c>
    </row>
    <row r="54" spans="1:15" ht="33" customHeight="1">
      <c r="A54" s="8" t="s">
        <v>18</v>
      </c>
      <c r="B54" s="91" t="s">
        <v>104</v>
      </c>
      <c r="C54" s="92"/>
      <c r="D54" s="10"/>
      <c r="E54" s="17"/>
      <c r="F54" s="18"/>
      <c r="G54" s="17"/>
      <c r="H54" s="42"/>
      <c r="I54" s="42"/>
      <c r="J54" s="42"/>
      <c r="K54" s="43"/>
      <c r="L54" s="44"/>
      <c r="M54" s="52"/>
      <c r="N54" s="44"/>
      <c r="O54" s="44"/>
    </row>
    <row r="55" spans="1:15" ht="48" customHeight="1">
      <c r="A55" s="74" t="s">
        <v>105</v>
      </c>
      <c r="B55" s="8" t="s">
        <v>106</v>
      </c>
      <c r="C55" s="8" t="s">
        <v>12</v>
      </c>
      <c r="D55" s="10">
        <v>975</v>
      </c>
      <c r="E55" s="17" t="s">
        <v>22</v>
      </c>
      <c r="F55" s="18" t="s">
        <v>109</v>
      </c>
      <c r="G55" s="17" t="s">
        <v>24</v>
      </c>
      <c r="H55" s="42">
        <f>SUM(I55:O55)</f>
        <v>465</v>
      </c>
      <c r="I55" s="42">
        <v>0</v>
      </c>
      <c r="J55" s="42">
        <v>465</v>
      </c>
      <c r="K55" s="43">
        <v>0</v>
      </c>
      <c r="L55" s="44">
        <f>335-335</f>
        <v>0</v>
      </c>
      <c r="M55" s="52">
        <v>0</v>
      </c>
      <c r="N55" s="44">
        <v>0</v>
      </c>
      <c r="O55" s="44">
        <v>0</v>
      </c>
    </row>
    <row r="56" spans="1:15" ht="62.25" customHeight="1">
      <c r="A56" s="75"/>
      <c r="B56" s="8" t="s">
        <v>107</v>
      </c>
      <c r="C56" s="8" t="s">
        <v>12</v>
      </c>
      <c r="D56" s="10">
        <v>975</v>
      </c>
      <c r="E56" s="17" t="s">
        <v>22</v>
      </c>
      <c r="F56" s="18" t="s">
        <v>110</v>
      </c>
      <c r="G56" s="17" t="s">
        <v>24</v>
      </c>
      <c r="H56" s="42">
        <f>SUM(I56:O56)</f>
        <v>756</v>
      </c>
      <c r="I56" s="42">
        <v>0</v>
      </c>
      <c r="J56" s="42">
        <v>756</v>
      </c>
      <c r="K56" s="43">
        <v>0</v>
      </c>
      <c r="L56" s="44">
        <v>0</v>
      </c>
      <c r="M56" s="52">
        <v>0</v>
      </c>
      <c r="N56" s="44">
        <v>0</v>
      </c>
      <c r="O56" s="44">
        <v>0</v>
      </c>
    </row>
    <row r="57" spans="1:15" ht="105">
      <c r="A57" s="76"/>
      <c r="B57" s="8" t="s">
        <v>108</v>
      </c>
      <c r="C57" s="8" t="s">
        <v>12</v>
      </c>
      <c r="D57" s="10">
        <v>975</v>
      </c>
      <c r="E57" s="17" t="s">
        <v>22</v>
      </c>
      <c r="F57" s="18" t="s">
        <v>111</v>
      </c>
      <c r="G57" s="17" t="s">
        <v>24</v>
      </c>
      <c r="H57" s="42">
        <f>SUM(I57:O57)</f>
        <v>400</v>
      </c>
      <c r="I57" s="42">
        <v>0</v>
      </c>
      <c r="J57" s="42">
        <v>400</v>
      </c>
      <c r="K57" s="43">
        <v>0</v>
      </c>
      <c r="L57" s="44">
        <v>0</v>
      </c>
      <c r="M57" s="52">
        <v>0</v>
      </c>
      <c r="N57" s="44">
        <v>0</v>
      </c>
      <c r="O57" s="44">
        <v>0</v>
      </c>
    </row>
    <row r="58" spans="1:15">
      <c r="A58" s="8" t="s">
        <v>18</v>
      </c>
      <c r="B58" s="91" t="s">
        <v>112</v>
      </c>
      <c r="C58" s="92"/>
      <c r="D58" s="10"/>
      <c r="E58" s="17"/>
      <c r="F58" s="18"/>
      <c r="G58" s="17"/>
      <c r="H58" s="42"/>
      <c r="I58" s="42"/>
      <c r="J58" s="42"/>
      <c r="K58" s="43"/>
      <c r="L58" s="44"/>
      <c r="M58" s="52"/>
      <c r="N58" s="44"/>
      <c r="O58" s="44"/>
    </row>
    <row r="59" spans="1:15" ht="106.5" customHeight="1">
      <c r="A59" s="8" t="s">
        <v>113</v>
      </c>
      <c r="B59" s="8" t="s">
        <v>114</v>
      </c>
      <c r="C59" s="8" t="s">
        <v>12</v>
      </c>
      <c r="D59" s="10">
        <v>975</v>
      </c>
      <c r="E59" s="17" t="s">
        <v>22</v>
      </c>
      <c r="F59" s="18" t="s">
        <v>115</v>
      </c>
      <c r="G59" s="17" t="s">
        <v>24</v>
      </c>
      <c r="H59" s="42">
        <f t="shared" ref="H59:H65" si="5">SUM(I59:O59)</f>
        <v>19627.099999999999</v>
      </c>
      <c r="I59" s="42">
        <v>6727.2</v>
      </c>
      <c r="J59" s="42">
        <v>6619.1</v>
      </c>
      <c r="K59" s="43">
        <v>6280.8</v>
      </c>
      <c r="L59" s="44">
        <f>6148.1-6148.1</f>
        <v>0</v>
      </c>
      <c r="M59" s="52">
        <v>0</v>
      </c>
      <c r="N59" s="44">
        <v>0</v>
      </c>
      <c r="O59" s="44">
        <v>0</v>
      </c>
    </row>
    <row r="60" spans="1:15" ht="106.5" customHeight="1">
      <c r="A60" s="8" t="s">
        <v>217</v>
      </c>
      <c r="B60" s="8" t="s">
        <v>247</v>
      </c>
      <c r="C60" s="8" t="s">
        <v>12</v>
      </c>
      <c r="D60" s="10">
        <v>975</v>
      </c>
      <c r="E60" s="17" t="s">
        <v>22</v>
      </c>
      <c r="F60" s="18" t="s">
        <v>239</v>
      </c>
      <c r="G60" s="17" t="s">
        <v>24</v>
      </c>
      <c r="H60" s="42">
        <f t="shared" si="5"/>
        <v>28719.8</v>
      </c>
      <c r="I60" s="42">
        <v>0</v>
      </c>
      <c r="J60" s="42">
        <v>0</v>
      </c>
      <c r="K60" s="43">
        <v>0</v>
      </c>
      <c r="L60" s="44">
        <v>6148.1</v>
      </c>
      <c r="M60" s="52">
        <f>6264.8+34.3</f>
        <v>6299.1</v>
      </c>
      <c r="N60" s="44">
        <f>8346.1-209.8</f>
        <v>8136.3</v>
      </c>
      <c r="O60" s="44">
        <f>8346.1-209.8</f>
        <v>8136.3</v>
      </c>
    </row>
    <row r="61" spans="1:15" ht="106.5" customHeight="1">
      <c r="A61" s="8" t="s">
        <v>223</v>
      </c>
      <c r="B61" s="8" t="s">
        <v>218</v>
      </c>
      <c r="C61" s="8" t="s">
        <v>12</v>
      </c>
      <c r="D61" s="10">
        <v>975</v>
      </c>
      <c r="E61" s="17" t="s">
        <v>22</v>
      </c>
      <c r="F61" s="18" t="s">
        <v>219</v>
      </c>
      <c r="G61" s="17" t="s">
        <v>24</v>
      </c>
      <c r="H61" s="42">
        <f t="shared" si="5"/>
        <v>0</v>
      </c>
      <c r="I61" s="42">
        <v>0</v>
      </c>
      <c r="J61" s="42">
        <v>0</v>
      </c>
      <c r="K61" s="43">
        <v>0</v>
      </c>
      <c r="L61" s="44">
        <f>33.3-33.3</f>
        <v>0</v>
      </c>
      <c r="M61" s="52">
        <v>0</v>
      </c>
      <c r="N61" s="44">
        <v>0</v>
      </c>
      <c r="O61" s="44">
        <v>0</v>
      </c>
    </row>
    <row r="62" spans="1:15" ht="106.5" customHeight="1">
      <c r="A62" s="8" t="s">
        <v>224</v>
      </c>
      <c r="B62" s="8" t="s">
        <v>216</v>
      </c>
      <c r="C62" s="8" t="s">
        <v>12</v>
      </c>
      <c r="D62" s="10">
        <v>975</v>
      </c>
      <c r="E62" s="17" t="s">
        <v>22</v>
      </c>
      <c r="F62" s="18" t="s">
        <v>225</v>
      </c>
      <c r="G62" s="17" t="s">
        <v>24</v>
      </c>
      <c r="H62" s="42">
        <f t="shared" si="5"/>
        <v>302.7</v>
      </c>
      <c r="I62" s="42">
        <v>0</v>
      </c>
      <c r="J62" s="42">
        <v>0</v>
      </c>
      <c r="K62" s="43">
        <v>0</v>
      </c>
      <c r="L62" s="44">
        <v>74.599999999999994</v>
      </c>
      <c r="M62" s="52">
        <f>63.3+0.4</f>
        <v>63.699999999999996</v>
      </c>
      <c r="N62" s="44">
        <f>84.305-2.105</f>
        <v>82.2</v>
      </c>
      <c r="O62" s="44">
        <f>84.305-2.105</f>
        <v>82.2</v>
      </c>
    </row>
    <row r="63" spans="1:15" ht="106.5" customHeight="1">
      <c r="A63" s="8" t="s">
        <v>240</v>
      </c>
      <c r="B63" s="8" t="s">
        <v>229</v>
      </c>
      <c r="C63" s="8" t="s">
        <v>12</v>
      </c>
      <c r="D63" s="10">
        <v>975</v>
      </c>
      <c r="E63" s="17" t="s">
        <v>22</v>
      </c>
      <c r="F63" s="18" t="s">
        <v>241</v>
      </c>
      <c r="G63" s="17" t="s">
        <v>24</v>
      </c>
      <c r="H63" s="42">
        <f t="shared" si="5"/>
        <v>7500</v>
      </c>
      <c r="I63" s="42">
        <v>0</v>
      </c>
      <c r="J63" s="42">
        <v>0</v>
      </c>
      <c r="K63" s="43">
        <v>0</v>
      </c>
      <c r="L63" s="44">
        <v>7500</v>
      </c>
      <c r="M63" s="52">
        <v>0</v>
      </c>
      <c r="N63" s="44">
        <v>0</v>
      </c>
      <c r="O63" s="44">
        <v>0</v>
      </c>
    </row>
    <row r="64" spans="1:15" ht="106.5" customHeight="1">
      <c r="A64" s="8" t="s">
        <v>240</v>
      </c>
      <c r="B64" s="8" t="s">
        <v>256</v>
      </c>
      <c r="C64" s="8" t="s">
        <v>12</v>
      </c>
      <c r="D64" s="10">
        <v>975</v>
      </c>
      <c r="E64" s="17" t="s">
        <v>22</v>
      </c>
      <c r="F64" s="18" t="s">
        <v>257</v>
      </c>
      <c r="G64" s="17" t="s">
        <v>24</v>
      </c>
      <c r="H64" s="42">
        <f t="shared" si="5"/>
        <v>300</v>
      </c>
      <c r="I64" s="42">
        <v>0</v>
      </c>
      <c r="J64" s="42">
        <v>0</v>
      </c>
      <c r="K64" s="43">
        <v>0</v>
      </c>
      <c r="L64" s="44">
        <v>0</v>
      </c>
      <c r="M64" s="52">
        <v>0</v>
      </c>
      <c r="N64" s="44">
        <v>300</v>
      </c>
      <c r="O64" s="44">
        <v>0</v>
      </c>
    </row>
    <row r="65" spans="1:15" ht="90">
      <c r="A65" s="13" t="s">
        <v>117</v>
      </c>
      <c r="B65" s="13" t="s">
        <v>118</v>
      </c>
      <c r="C65" s="13" t="s">
        <v>236</v>
      </c>
      <c r="D65" s="14"/>
      <c r="E65" s="14"/>
      <c r="F65" s="15" t="s">
        <v>116</v>
      </c>
      <c r="G65" s="14"/>
      <c r="H65" s="45">
        <f t="shared" si="5"/>
        <v>152776.166</v>
      </c>
      <c r="I65" s="41">
        <f>I67+I69+I71+I73+I74+I76+I79+I80+I81+I83+I87+I88+I89+I91+I92+I77+I93+I94+I95+I84+I85</f>
        <v>25267.899999999998</v>
      </c>
      <c r="J65" s="41">
        <f t="shared" ref="J65:O65" si="6">J67+J69+J71+J73+J74+J76+J79+J80+J81+J83+J87+J88+J89+J91+J92+J77+J93+J94+J95+J84+J85</f>
        <v>23319.300000000003</v>
      </c>
      <c r="K65" s="41">
        <f t="shared" si="6"/>
        <v>18178.421999999999</v>
      </c>
      <c r="L65" s="41">
        <f t="shared" si="6"/>
        <v>18167.108</v>
      </c>
      <c r="M65" s="51">
        <f t="shared" si="6"/>
        <v>21308.095999999998</v>
      </c>
      <c r="N65" s="41">
        <f>N67+N69+N71+N73+N74+N76+N79+N80+N81+N83+N87+N88+N89+N91+N92+N77+N93+N94+N95+N84+N85</f>
        <v>24321.806</v>
      </c>
      <c r="O65" s="41">
        <f t="shared" si="6"/>
        <v>22213.534</v>
      </c>
    </row>
    <row r="66" spans="1:15" ht="31.5" customHeight="1">
      <c r="A66" s="8" t="s">
        <v>18</v>
      </c>
      <c r="B66" s="91" t="s">
        <v>119</v>
      </c>
      <c r="C66" s="92"/>
      <c r="D66" s="10"/>
      <c r="E66" s="17"/>
      <c r="F66" s="18"/>
      <c r="G66" s="17"/>
      <c r="H66" s="42"/>
      <c r="I66" s="42"/>
      <c r="J66" s="42"/>
      <c r="K66" s="43"/>
      <c r="L66" s="44"/>
      <c r="M66" s="52"/>
      <c r="N66" s="44"/>
      <c r="O66" s="44"/>
    </row>
    <row r="67" spans="1:15" ht="60">
      <c r="A67" s="8" t="s">
        <v>120</v>
      </c>
      <c r="B67" s="8" t="s">
        <v>121</v>
      </c>
      <c r="C67" s="8" t="s">
        <v>12</v>
      </c>
      <c r="D67" s="10">
        <v>975</v>
      </c>
      <c r="E67" s="17" t="s">
        <v>22</v>
      </c>
      <c r="F67" s="18" t="s">
        <v>122</v>
      </c>
      <c r="G67" s="17" t="s">
        <v>52</v>
      </c>
      <c r="H67" s="42">
        <f>SUM(I67:O67)</f>
        <v>18</v>
      </c>
      <c r="I67" s="42">
        <v>6</v>
      </c>
      <c r="J67" s="42">
        <v>6</v>
      </c>
      <c r="K67" s="43">
        <v>6</v>
      </c>
      <c r="L67" s="44">
        <v>0</v>
      </c>
      <c r="M67" s="52">
        <v>0</v>
      </c>
      <c r="N67" s="44">
        <v>0</v>
      </c>
      <c r="O67" s="44">
        <v>0</v>
      </c>
    </row>
    <row r="68" spans="1:15" ht="32.25" customHeight="1">
      <c r="A68" s="8" t="s">
        <v>18</v>
      </c>
      <c r="B68" s="91" t="s">
        <v>124</v>
      </c>
      <c r="C68" s="92"/>
      <c r="D68" s="10"/>
      <c r="E68" s="17"/>
      <c r="F68" s="18"/>
      <c r="G68" s="17"/>
      <c r="H68" s="42"/>
      <c r="I68" s="42"/>
      <c r="J68" s="42"/>
      <c r="K68" s="43"/>
      <c r="L68" s="44"/>
      <c r="M68" s="52"/>
      <c r="N68" s="44"/>
      <c r="O68" s="44"/>
    </row>
    <row r="69" spans="1:15" ht="45">
      <c r="A69" s="8" t="s">
        <v>123</v>
      </c>
      <c r="B69" s="8" t="s">
        <v>125</v>
      </c>
      <c r="C69" s="8" t="s">
        <v>12</v>
      </c>
      <c r="D69" s="10">
        <v>975</v>
      </c>
      <c r="E69" s="17" t="s">
        <v>22</v>
      </c>
      <c r="F69" s="18" t="s">
        <v>248</v>
      </c>
      <c r="G69" s="17" t="s">
        <v>52</v>
      </c>
      <c r="H69" s="42">
        <f>SUM(I69:O69)</f>
        <v>4200</v>
      </c>
      <c r="I69" s="42">
        <v>800</v>
      </c>
      <c r="J69" s="42">
        <v>800</v>
      </c>
      <c r="K69" s="43">
        <v>800</v>
      </c>
      <c r="L69" s="44">
        <v>800</v>
      </c>
      <c r="M69" s="52">
        <v>500</v>
      </c>
      <c r="N69" s="44">
        <v>500</v>
      </c>
      <c r="O69" s="44">
        <v>0</v>
      </c>
    </row>
    <row r="70" spans="1:15">
      <c r="A70" s="8"/>
      <c r="B70" s="8"/>
      <c r="C70" s="8"/>
      <c r="D70" s="10"/>
      <c r="E70" s="17"/>
      <c r="F70" s="18"/>
      <c r="G70" s="17"/>
      <c r="H70" s="42"/>
      <c r="I70" s="42"/>
      <c r="J70" s="42"/>
      <c r="K70" s="43"/>
      <c r="L70" s="44"/>
      <c r="M70" s="52"/>
      <c r="N70" s="44"/>
      <c r="O70" s="44"/>
    </row>
    <row r="71" spans="1:15" ht="45">
      <c r="A71" s="8" t="s">
        <v>123</v>
      </c>
      <c r="B71" s="8" t="s">
        <v>126</v>
      </c>
      <c r="C71" s="8" t="s">
        <v>12</v>
      </c>
      <c r="D71" s="10">
        <v>975</v>
      </c>
      <c r="E71" s="17" t="s">
        <v>22</v>
      </c>
      <c r="F71" s="18" t="s">
        <v>127</v>
      </c>
      <c r="G71" s="17" t="s">
        <v>52</v>
      </c>
      <c r="H71" s="42">
        <f>SUM(I71:O71)</f>
        <v>18</v>
      </c>
      <c r="I71" s="42">
        <v>9</v>
      </c>
      <c r="J71" s="42">
        <v>9</v>
      </c>
      <c r="K71" s="43">
        <v>0</v>
      </c>
      <c r="L71" s="44">
        <v>0</v>
      </c>
      <c r="M71" s="52">
        <v>0</v>
      </c>
      <c r="N71" s="44">
        <v>0</v>
      </c>
      <c r="O71" s="44">
        <v>0</v>
      </c>
    </row>
    <row r="72" spans="1:15">
      <c r="A72" s="8" t="s">
        <v>18</v>
      </c>
      <c r="B72" s="91" t="s">
        <v>128</v>
      </c>
      <c r="C72" s="92"/>
      <c r="D72" s="10"/>
      <c r="E72" s="17"/>
      <c r="F72" s="18"/>
      <c r="G72" s="17"/>
      <c r="H72" s="42"/>
      <c r="I72" s="42"/>
      <c r="J72" s="42"/>
      <c r="K72" s="43"/>
      <c r="L72" s="44"/>
      <c r="M72" s="52"/>
      <c r="N72" s="44"/>
      <c r="O72" s="44"/>
    </row>
    <row r="73" spans="1:15" ht="45">
      <c r="A73" s="8" t="s">
        <v>129</v>
      </c>
      <c r="B73" s="8" t="s">
        <v>130</v>
      </c>
      <c r="C73" s="8" t="s">
        <v>12</v>
      </c>
      <c r="D73" s="10">
        <v>975</v>
      </c>
      <c r="E73" s="17" t="s">
        <v>22</v>
      </c>
      <c r="F73" s="18" t="s">
        <v>131</v>
      </c>
      <c r="G73" s="17" t="s">
        <v>52</v>
      </c>
      <c r="H73" s="42">
        <f>SUM(I73:O73)</f>
        <v>311.28999999999996</v>
      </c>
      <c r="I73" s="42">
        <v>187.5</v>
      </c>
      <c r="J73" s="42">
        <v>77.400000000000006</v>
      </c>
      <c r="K73" s="43">
        <f>46.39</f>
        <v>46.39</v>
      </c>
      <c r="L73" s="44">
        <v>0</v>
      </c>
      <c r="M73" s="52">
        <v>0</v>
      </c>
      <c r="N73" s="44">
        <v>0</v>
      </c>
      <c r="O73" s="44">
        <v>0</v>
      </c>
    </row>
    <row r="74" spans="1:15" ht="53.25" customHeight="1">
      <c r="A74" s="8" t="s">
        <v>132</v>
      </c>
      <c r="B74" s="8" t="s">
        <v>133</v>
      </c>
      <c r="C74" s="8" t="s">
        <v>12</v>
      </c>
      <c r="D74" s="10">
        <v>975</v>
      </c>
      <c r="E74" s="17" t="s">
        <v>22</v>
      </c>
      <c r="F74" s="18" t="s">
        <v>134</v>
      </c>
      <c r="G74" s="17" t="s">
        <v>52</v>
      </c>
      <c r="H74" s="42">
        <f>SUM(I74:O74)</f>
        <v>0</v>
      </c>
      <c r="I74" s="42">
        <v>0</v>
      </c>
      <c r="J74" s="42">
        <v>0</v>
      </c>
      <c r="K74" s="43">
        <v>0</v>
      </c>
      <c r="L74" s="44">
        <v>0</v>
      </c>
      <c r="M74" s="52">
        <v>0</v>
      </c>
      <c r="N74" s="44">
        <v>0</v>
      </c>
      <c r="O74" s="44">
        <v>0</v>
      </c>
    </row>
    <row r="75" spans="1:15">
      <c r="A75" s="8" t="s">
        <v>18</v>
      </c>
      <c r="B75" s="91" t="s">
        <v>135</v>
      </c>
      <c r="C75" s="92"/>
      <c r="D75" s="10"/>
      <c r="E75" s="17"/>
      <c r="F75" s="18"/>
      <c r="G75" s="17"/>
      <c r="H75" s="42"/>
      <c r="I75" s="42"/>
      <c r="J75" s="42"/>
      <c r="K75" s="43"/>
      <c r="L75" s="44"/>
      <c r="M75" s="52"/>
      <c r="N75" s="44"/>
      <c r="O75" s="44"/>
    </row>
    <row r="76" spans="1:15" ht="168" customHeight="1">
      <c r="A76" s="8" t="s">
        <v>137</v>
      </c>
      <c r="B76" s="8" t="s">
        <v>136</v>
      </c>
      <c r="C76" s="8" t="s">
        <v>12</v>
      </c>
      <c r="D76" s="10">
        <v>975</v>
      </c>
      <c r="E76" s="17" t="s">
        <v>22</v>
      </c>
      <c r="F76" s="18" t="s">
        <v>138</v>
      </c>
      <c r="G76" s="17" t="s">
        <v>206</v>
      </c>
      <c r="H76" s="42">
        <f>SUM(I76:O76)</f>
        <v>426.3</v>
      </c>
      <c r="I76" s="42">
        <v>192</v>
      </c>
      <c r="J76" s="42">
        <v>227.3</v>
      </c>
      <c r="K76" s="43">
        <v>0</v>
      </c>
      <c r="L76" s="44">
        <f>7</f>
        <v>7</v>
      </c>
      <c r="M76" s="52">
        <v>0</v>
      </c>
      <c r="N76" s="44">
        <v>0</v>
      </c>
      <c r="O76" s="44">
        <v>0</v>
      </c>
    </row>
    <row r="77" spans="1:15" ht="173.25" customHeight="1">
      <c r="A77" s="8" t="s">
        <v>192</v>
      </c>
      <c r="B77" s="8" t="s">
        <v>193</v>
      </c>
      <c r="C77" s="8" t="s">
        <v>12</v>
      </c>
      <c r="D77" s="10">
        <v>975</v>
      </c>
      <c r="E77" s="17" t="s">
        <v>22</v>
      </c>
      <c r="F77" s="18" t="s">
        <v>156</v>
      </c>
      <c r="G77" s="17" t="s">
        <v>206</v>
      </c>
      <c r="H77" s="42">
        <f>SUM(I77:O77)</f>
        <v>277.04499999999996</v>
      </c>
      <c r="I77" s="42">
        <v>0</v>
      </c>
      <c r="J77" s="42">
        <v>0</v>
      </c>
      <c r="K77" s="43">
        <f>169.045</f>
        <v>169.04499999999999</v>
      </c>
      <c r="L77" s="44">
        <v>38</v>
      </c>
      <c r="M77" s="52">
        <f>70</f>
        <v>70</v>
      </c>
      <c r="N77" s="44">
        <v>0</v>
      </c>
      <c r="O77" s="44">
        <v>0</v>
      </c>
    </row>
    <row r="78" spans="1:15">
      <c r="A78" s="8" t="s">
        <v>18</v>
      </c>
      <c r="B78" s="91" t="s">
        <v>139</v>
      </c>
      <c r="C78" s="92"/>
      <c r="D78" s="10"/>
      <c r="E78" s="17"/>
      <c r="F78" s="18"/>
      <c r="G78" s="17"/>
      <c r="H78" s="42"/>
      <c r="I78" s="42"/>
      <c r="J78" s="42"/>
      <c r="K78" s="43"/>
      <c r="L78" s="44"/>
      <c r="M78" s="52"/>
      <c r="N78" s="44"/>
      <c r="O78" s="44"/>
    </row>
    <row r="79" spans="1:15" ht="45">
      <c r="A79" s="95" t="s">
        <v>140</v>
      </c>
      <c r="B79" s="31" t="s">
        <v>233</v>
      </c>
      <c r="C79" s="8" t="s">
        <v>12</v>
      </c>
      <c r="D79" s="10">
        <v>975</v>
      </c>
      <c r="E79" s="17" t="s">
        <v>142</v>
      </c>
      <c r="F79" s="18" t="s">
        <v>249</v>
      </c>
      <c r="G79" s="17" t="s">
        <v>143</v>
      </c>
      <c r="H79" s="42">
        <f>SUM(I79:O79)</f>
        <v>5130.3310000000001</v>
      </c>
      <c r="I79" s="42">
        <v>1328.2</v>
      </c>
      <c r="J79" s="42">
        <v>761.1</v>
      </c>
      <c r="K79" s="43">
        <v>761.1</v>
      </c>
      <c r="L79" s="44">
        <v>253.7</v>
      </c>
      <c r="M79" s="52">
        <f>393.749+667.209</f>
        <v>1060.9580000000001</v>
      </c>
      <c r="N79" s="44">
        <v>965.27300000000002</v>
      </c>
      <c r="O79" s="44">
        <v>0</v>
      </c>
    </row>
    <row r="80" spans="1:15" ht="59.25" customHeight="1">
      <c r="A80" s="96"/>
      <c r="B80" s="31" t="s">
        <v>141</v>
      </c>
      <c r="C80" s="8" t="s">
        <v>12</v>
      </c>
      <c r="D80" s="10">
        <v>975</v>
      </c>
      <c r="E80" s="17" t="s">
        <v>142</v>
      </c>
      <c r="F80" s="18" t="s">
        <v>250</v>
      </c>
      <c r="G80" s="17" t="s">
        <v>143</v>
      </c>
      <c r="H80" s="42">
        <f>SUM(I80:O80)</f>
        <v>1310.2850000000001</v>
      </c>
      <c r="I80" s="42">
        <v>240</v>
      </c>
      <c r="J80" s="42">
        <v>461.7</v>
      </c>
      <c r="K80" s="43">
        <f>608.585</f>
        <v>608.58500000000004</v>
      </c>
      <c r="L80" s="44">
        <v>0</v>
      </c>
      <c r="M80" s="52">
        <v>0</v>
      </c>
      <c r="N80" s="44">
        <v>0</v>
      </c>
      <c r="O80" s="44">
        <v>0</v>
      </c>
    </row>
    <row r="81" spans="1:15" ht="45">
      <c r="A81" s="97"/>
      <c r="B81" s="31" t="s">
        <v>245</v>
      </c>
      <c r="C81" s="8" t="s">
        <v>12</v>
      </c>
      <c r="D81" s="10">
        <v>975</v>
      </c>
      <c r="E81" s="17" t="s">
        <v>142</v>
      </c>
      <c r="F81" s="18" t="s">
        <v>226</v>
      </c>
      <c r="G81" s="17" t="s">
        <v>143</v>
      </c>
      <c r="H81" s="42">
        <f>SUM(I81:O81)</f>
        <v>3126.5499999999997</v>
      </c>
      <c r="I81" s="42">
        <v>770.9</v>
      </c>
      <c r="J81" s="42">
        <v>745.9</v>
      </c>
      <c r="K81" s="43">
        <f>885.614</f>
        <v>885.61400000000003</v>
      </c>
      <c r="L81" s="44">
        <f>198.994+525.142</f>
        <v>724.13600000000008</v>
      </c>
      <c r="M81" s="52">
        <v>0</v>
      </c>
      <c r="N81" s="44">
        <v>0</v>
      </c>
      <c r="O81" s="44">
        <v>0</v>
      </c>
    </row>
    <row r="82" spans="1:15">
      <c r="A82" s="8" t="s">
        <v>18</v>
      </c>
      <c r="B82" s="91" t="s">
        <v>144</v>
      </c>
      <c r="C82" s="92"/>
      <c r="D82" s="10"/>
      <c r="E82" s="17"/>
      <c r="F82" s="18"/>
      <c r="G82" s="17"/>
      <c r="H82" s="42"/>
      <c r="I82" s="42"/>
      <c r="J82" s="42"/>
      <c r="K82" s="43"/>
      <c r="L82" s="44"/>
      <c r="M82" s="52"/>
      <c r="N82" s="44"/>
      <c r="O82" s="44"/>
    </row>
    <row r="83" spans="1:15" s="36" customFormat="1" ht="60">
      <c r="A83" s="95" t="s">
        <v>145</v>
      </c>
      <c r="B83" s="31" t="s">
        <v>146</v>
      </c>
      <c r="C83" s="31" t="s">
        <v>12</v>
      </c>
      <c r="D83" s="33">
        <v>975</v>
      </c>
      <c r="E83" s="34" t="s">
        <v>22</v>
      </c>
      <c r="F83" s="35" t="s">
        <v>147</v>
      </c>
      <c r="G83" s="34" t="s">
        <v>24</v>
      </c>
      <c r="H83" s="42">
        <f>SUM(I83:O83)</f>
        <v>130372.724</v>
      </c>
      <c r="I83" s="46">
        <v>19814.099999999999</v>
      </c>
      <c r="J83" s="46">
        <v>19109.900000000001</v>
      </c>
      <c r="K83" s="43">
        <f>14598.934</f>
        <v>14598.933999999999</v>
      </c>
      <c r="L83" s="43">
        <f>15053.7+12.4-126.082+30+85+17.58+117.1</f>
        <v>15189.698</v>
      </c>
      <c r="M83" s="52">
        <v>18760.788</v>
      </c>
      <c r="N83" s="43">
        <f>22213.534-23.668-1504.096</f>
        <v>20685.769999999997</v>
      </c>
      <c r="O83" s="43">
        <v>22213.534</v>
      </c>
    </row>
    <row r="84" spans="1:15" s="36" customFormat="1" ht="60">
      <c r="A84" s="96"/>
      <c r="B84" s="31" t="s">
        <v>259</v>
      </c>
      <c r="C84" s="31" t="s">
        <v>12</v>
      </c>
      <c r="D84" s="33">
        <v>975</v>
      </c>
      <c r="E84" s="34" t="s">
        <v>22</v>
      </c>
      <c r="F84" s="35" t="s">
        <v>232</v>
      </c>
      <c r="G84" s="34" t="s">
        <v>24</v>
      </c>
      <c r="H84" s="42">
        <f>SUM(I84:O84)</f>
        <v>2633.6350000000002</v>
      </c>
      <c r="I84" s="46">
        <v>0</v>
      </c>
      <c r="J84" s="46">
        <v>0</v>
      </c>
      <c r="K84" s="43">
        <v>0</v>
      </c>
      <c r="L84" s="43">
        <v>359.8</v>
      </c>
      <c r="M84" s="52">
        <f>710.248+74.532</f>
        <v>784.78000000000009</v>
      </c>
      <c r="N84" s="43">
        <v>1489.0550000000001</v>
      </c>
      <c r="O84" s="43">
        <v>0</v>
      </c>
    </row>
    <row r="85" spans="1:15" s="36" customFormat="1" ht="60">
      <c r="A85" s="97"/>
      <c r="B85" s="31" t="s">
        <v>259</v>
      </c>
      <c r="C85" s="31" t="s">
        <v>12</v>
      </c>
      <c r="D85" s="33">
        <v>975</v>
      </c>
      <c r="E85" s="34" t="s">
        <v>22</v>
      </c>
      <c r="F85" s="35" t="s">
        <v>232</v>
      </c>
      <c r="G85" s="34" t="s">
        <v>24</v>
      </c>
      <c r="H85" s="42">
        <f>SUM(I85:O85)</f>
        <v>30.241</v>
      </c>
      <c r="I85" s="46">
        <v>0</v>
      </c>
      <c r="J85" s="46">
        <v>0</v>
      </c>
      <c r="K85" s="43">
        <v>0</v>
      </c>
      <c r="L85" s="43">
        <v>3.63</v>
      </c>
      <c r="M85" s="52">
        <f>10.815+0.755</f>
        <v>11.57</v>
      </c>
      <c r="N85" s="43">
        <v>15.041</v>
      </c>
      <c r="O85" s="43">
        <v>0</v>
      </c>
    </row>
    <row r="86" spans="1:15">
      <c r="A86" s="8" t="s">
        <v>18</v>
      </c>
      <c r="B86" s="91" t="s">
        <v>144</v>
      </c>
      <c r="C86" s="92"/>
      <c r="D86" s="10"/>
      <c r="E86" s="17"/>
      <c r="F86" s="18"/>
      <c r="G86" s="17"/>
      <c r="H86" s="42"/>
      <c r="I86" s="42"/>
      <c r="J86" s="42"/>
      <c r="K86" s="43"/>
      <c r="L86" s="44"/>
      <c r="M86" s="52"/>
      <c r="N86" s="44"/>
      <c r="O86" s="44"/>
    </row>
    <row r="87" spans="1:15" ht="45.75" customHeight="1">
      <c r="A87" s="8" t="s">
        <v>148</v>
      </c>
      <c r="B87" s="8" t="s">
        <v>149</v>
      </c>
      <c r="C87" s="8" t="s">
        <v>12</v>
      </c>
      <c r="D87" s="10">
        <v>975</v>
      </c>
      <c r="E87" s="17" t="s">
        <v>22</v>
      </c>
      <c r="F87" s="18" t="s">
        <v>150</v>
      </c>
      <c r="G87" s="17" t="s">
        <v>24</v>
      </c>
      <c r="H87" s="42">
        <f>SUM(I87:O87)</f>
        <v>1046</v>
      </c>
      <c r="I87" s="42">
        <v>0</v>
      </c>
      <c r="J87" s="42">
        <v>1046</v>
      </c>
      <c r="K87" s="43">
        <v>0</v>
      </c>
      <c r="L87" s="44">
        <v>0</v>
      </c>
      <c r="M87" s="52">
        <v>0</v>
      </c>
      <c r="N87" s="44">
        <v>0</v>
      </c>
      <c r="O87" s="44">
        <v>0</v>
      </c>
    </row>
    <row r="88" spans="1:15" ht="45">
      <c r="A88" s="8" t="s">
        <v>151</v>
      </c>
      <c r="B88" s="8" t="s">
        <v>152</v>
      </c>
      <c r="C88" s="8" t="s">
        <v>12</v>
      </c>
      <c r="D88" s="10">
        <v>975</v>
      </c>
      <c r="E88" s="17" t="s">
        <v>22</v>
      </c>
      <c r="F88" s="18" t="s">
        <v>153</v>
      </c>
      <c r="G88" s="17" t="s">
        <v>24</v>
      </c>
      <c r="H88" s="42">
        <f>SUM(I88:O88)</f>
        <v>735</v>
      </c>
      <c r="I88" s="42">
        <v>115</v>
      </c>
      <c r="J88" s="42">
        <v>75</v>
      </c>
      <c r="K88" s="43">
        <f>140-15</f>
        <v>125</v>
      </c>
      <c r="L88" s="44">
        <v>300</v>
      </c>
      <c r="M88" s="52">
        <v>120</v>
      </c>
      <c r="N88" s="44">
        <v>0</v>
      </c>
      <c r="O88" s="44">
        <v>0</v>
      </c>
    </row>
    <row r="89" spans="1:15" ht="45">
      <c r="A89" s="8" t="s">
        <v>154</v>
      </c>
      <c r="B89" s="8" t="s">
        <v>155</v>
      </c>
      <c r="C89" s="8" t="s">
        <v>12</v>
      </c>
      <c r="D89" s="10">
        <v>975</v>
      </c>
      <c r="E89" s="17" t="s">
        <v>22</v>
      </c>
      <c r="F89" s="18" t="s">
        <v>214</v>
      </c>
      <c r="G89" s="17" t="s">
        <v>24</v>
      </c>
      <c r="H89" s="42">
        <f>SUM(I89:O89)</f>
        <v>438.67899999999997</v>
      </c>
      <c r="I89" s="42">
        <v>179.2</v>
      </c>
      <c r="J89" s="42">
        <v>0</v>
      </c>
      <c r="K89" s="43">
        <f>111.669</f>
        <v>111.669</v>
      </c>
      <c r="L89" s="44">
        <f>100+60-12.19</f>
        <v>147.81</v>
      </c>
      <c r="M89" s="52">
        <v>0</v>
      </c>
      <c r="N89" s="44">
        <v>0</v>
      </c>
      <c r="O89" s="44">
        <v>0</v>
      </c>
    </row>
    <row r="90" spans="1:15" ht="31.5" customHeight="1">
      <c r="A90" s="8" t="s">
        <v>18</v>
      </c>
      <c r="B90" s="91" t="s">
        <v>157</v>
      </c>
      <c r="C90" s="92"/>
      <c r="D90" s="10"/>
      <c r="E90" s="17"/>
      <c r="F90" s="18"/>
      <c r="G90" s="17"/>
      <c r="H90" s="42"/>
      <c r="I90" s="42"/>
      <c r="J90" s="42"/>
      <c r="K90" s="43"/>
      <c r="L90" s="44"/>
      <c r="M90" s="52"/>
      <c r="N90" s="44"/>
      <c r="O90" s="44"/>
    </row>
    <row r="91" spans="1:15" ht="90">
      <c r="A91" s="74" t="s">
        <v>220</v>
      </c>
      <c r="B91" s="8" t="s">
        <v>158</v>
      </c>
      <c r="C91" s="8" t="s">
        <v>12</v>
      </c>
      <c r="D91" s="10">
        <v>975</v>
      </c>
      <c r="E91" s="17" t="s">
        <v>22</v>
      </c>
      <c r="F91" s="18" t="s">
        <v>160</v>
      </c>
      <c r="G91" s="17" t="s">
        <v>24</v>
      </c>
      <c r="H91" s="42">
        <f t="shared" ref="H91:H96" si="7">SUM(I91:O91)</f>
        <v>290.5</v>
      </c>
      <c r="I91" s="42">
        <v>290.5</v>
      </c>
      <c r="J91" s="42">
        <v>0</v>
      </c>
      <c r="K91" s="43">
        <v>0</v>
      </c>
      <c r="L91" s="44">
        <v>0</v>
      </c>
      <c r="M91" s="52">
        <v>0</v>
      </c>
      <c r="N91" s="44">
        <v>0</v>
      </c>
      <c r="O91" s="44">
        <v>0</v>
      </c>
    </row>
    <row r="92" spans="1:15" ht="75">
      <c r="A92" s="76"/>
      <c r="B92" s="8" t="s">
        <v>159</v>
      </c>
      <c r="C92" s="8" t="s">
        <v>12</v>
      </c>
      <c r="D92" s="10">
        <v>975</v>
      </c>
      <c r="E92" s="17" t="s">
        <v>22</v>
      </c>
      <c r="F92" s="18" t="s">
        <v>161</v>
      </c>
      <c r="G92" s="17" t="s">
        <v>24</v>
      </c>
      <c r="H92" s="42">
        <f t="shared" si="7"/>
        <v>1335.5</v>
      </c>
      <c r="I92" s="42">
        <v>1335.5</v>
      </c>
      <c r="J92" s="42">
        <v>0</v>
      </c>
      <c r="K92" s="43">
        <v>0</v>
      </c>
      <c r="L92" s="44">
        <v>0</v>
      </c>
      <c r="M92" s="52">
        <v>0</v>
      </c>
      <c r="N92" s="44">
        <v>0</v>
      </c>
      <c r="O92" s="44">
        <v>0</v>
      </c>
    </row>
    <row r="93" spans="1:15" ht="45">
      <c r="A93" s="26" t="s">
        <v>221</v>
      </c>
      <c r="B93" s="8" t="s">
        <v>212</v>
      </c>
      <c r="C93" s="8" t="s">
        <v>12</v>
      </c>
      <c r="D93" s="10">
        <v>975</v>
      </c>
      <c r="E93" s="17" t="s">
        <v>22</v>
      </c>
      <c r="F93" s="18" t="s">
        <v>209</v>
      </c>
      <c r="G93" s="17" t="s">
        <v>24</v>
      </c>
      <c r="H93" s="42">
        <f t="shared" si="7"/>
        <v>76.084999999999994</v>
      </c>
      <c r="I93" s="42">
        <v>0</v>
      </c>
      <c r="J93" s="42">
        <v>0</v>
      </c>
      <c r="K93" s="43">
        <f>66.085</f>
        <v>66.084999999999994</v>
      </c>
      <c r="L93" s="44">
        <v>10</v>
      </c>
      <c r="M93" s="52">
        <v>0</v>
      </c>
      <c r="N93" s="44">
        <v>0</v>
      </c>
      <c r="O93" s="44">
        <v>0</v>
      </c>
    </row>
    <row r="94" spans="1:15" ht="45">
      <c r="A94" s="29" t="s">
        <v>222</v>
      </c>
      <c r="B94" s="8" t="s">
        <v>218</v>
      </c>
      <c r="C94" s="8" t="s">
        <v>12</v>
      </c>
      <c r="D94" s="10">
        <v>975</v>
      </c>
      <c r="E94" s="17" t="s">
        <v>22</v>
      </c>
      <c r="F94" s="18" t="s">
        <v>242</v>
      </c>
      <c r="G94" s="17" t="s">
        <v>24</v>
      </c>
      <c r="H94" s="42">
        <f t="shared" si="7"/>
        <v>100.001</v>
      </c>
      <c r="I94" s="42">
        <v>0</v>
      </c>
      <c r="J94" s="42">
        <v>0</v>
      </c>
      <c r="K94" s="43">
        <v>0</v>
      </c>
      <c r="L94" s="44">
        <f>33.3+0.034</f>
        <v>33.333999999999996</v>
      </c>
      <c r="M94" s="52">
        <v>0</v>
      </c>
      <c r="N94" s="44">
        <v>66.667000000000002</v>
      </c>
      <c r="O94" s="44">
        <v>0</v>
      </c>
    </row>
    <row r="95" spans="1:15" ht="60">
      <c r="A95" s="30" t="s">
        <v>227</v>
      </c>
      <c r="B95" s="8" t="s">
        <v>253</v>
      </c>
      <c r="C95" s="8" t="s">
        <v>12</v>
      </c>
      <c r="D95" s="10">
        <v>975</v>
      </c>
      <c r="E95" s="17" t="s">
        <v>22</v>
      </c>
      <c r="F95" s="18" t="s">
        <v>242</v>
      </c>
      <c r="G95" s="17" t="s">
        <v>24</v>
      </c>
      <c r="H95" s="42">
        <f t="shared" si="7"/>
        <v>900</v>
      </c>
      <c r="I95" s="42">
        <v>0</v>
      </c>
      <c r="J95" s="42">
        <v>0</v>
      </c>
      <c r="K95" s="43">
        <v>0</v>
      </c>
      <c r="L95" s="44">
        <v>300</v>
      </c>
      <c r="M95" s="52">
        <v>0</v>
      </c>
      <c r="N95" s="44">
        <v>600</v>
      </c>
      <c r="O95" s="44">
        <v>0</v>
      </c>
    </row>
    <row r="96" spans="1:15" s="58" customFormat="1" ht="75">
      <c r="A96" s="54" t="s">
        <v>162</v>
      </c>
      <c r="B96" s="54" t="s">
        <v>163</v>
      </c>
      <c r="C96" s="54" t="s">
        <v>237</v>
      </c>
      <c r="D96" s="55"/>
      <c r="E96" s="55"/>
      <c r="F96" s="56" t="s">
        <v>164</v>
      </c>
      <c r="G96" s="55"/>
      <c r="H96" s="57">
        <f t="shared" si="7"/>
        <v>11449.303999999998</v>
      </c>
      <c r="I96" s="51">
        <f>I98+I99+I100</f>
        <v>1415.6</v>
      </c>
      <c r="J96" s="51">
        <f t="shared" ref="J96:M96" si="8">J98+J99+J100</f>
        <v>2186.5</v>
      </c>
      <c r="K96" s="51">
        <f t="shared" si="8"/>
        <v>1687.817</v>
      </c>
      <c r="L96" s="51">
        <f t="shared" si="8"/>
        <v>1917.652</v>
      </c>
      <c r="M96" s="51">
        <f t="shared" si="8"/>
        <v>1798.085</v>
      </c>
      <c r="N96" s="51">
        <f t="shared" ref="N96:O96" si="9">N98+N99+N100</f>
        <v>1300.1500000000001</v>
      </c>
      <c r="O96" s="51">
        <f t="shared" si="9"/>
        <v>1143.5</v>
      </c>
    </row>
    <row r="97" spans="1:15" ht="30" customHeight="1">
      <c r="A97" s="8" t="s">
        <v>18</v>
      </c>
      <c r="B97" s="91" t="s">
        <v>163</v>
      </c>
      <c r="C97" s="92"/>
      <c r="D97" s="10"/>
      <c r="E97" s="17"/>
      <c r="F97" s="18"/>
      <c r="G97" s="17"/>
      <c r="H97" s="42"/>
      <c r="I97" s="42"/>
      <c r="J97" s="42"/>
      <c r="K97" s="43"/>
      <c r="L97" s="44"/>
      <c r="M97" s="52"/>
      <c r="N97" s="44"/>
      <c r="O97" s="44"/>
    </row>
    <row r="98" spans="1:15" ht="82.9" customHeight="1">
      <c r="A98" s="74" t="s">
        <v>165</v>
      </c>
      <c r="B98" s="8" t="s">
        <v>213</v>
      </c>
      <c r="C98" s="8" t="s">
        <v>12</v>
      </c>
      <c r="D98" s="10">
        <v>975</v>
      </c>
      <c r="E98" s="17" t="s">
        <v>22</v>
      </c>
      <c r="F98" s="18" t="s">
        <v>244</v>
      </c>
      <c r="G98" s="17" t="s">
        <v>169</v>
      </c>
      <c r="H98" s="42">
        <f t="shared" ref="H98:H100" si="10">SUM(I98:O98)</f>
        <v>4769.0809999999992</v>
      </c>
      <c r="I98" s="42">
        <v>350</v>
      </c>
      <c r="J98" s="42">
        <v>660.7</v>
      </c>
      <c r="K98" s="43">
        <f>862.135</f>
        <v>862.13499999999999</v>
      </c>
      <c r="L98" s="44">
        <f>862+98.32-15.9+41.471+2.275-1.37</f>
        <v>986.79599999999994</v>
      </c>
      <c r="M98" s="52">
        <f>994.65</f>
        <v>994.65</v>
      </c>
      <c r="N98" s="44">
        <f>468.2-10.8</f>
        <v>457.4</v>
      </c>
      <c r="O98" s="44">
        <f>468.2-10.8</f>
        <v>457.4</v>
      </c>
    </row>
    <row r="99" spans="1:15" ht="76.900000000000006" customHeight="1">
      <c r="A99" s="76"/>
      <c r="B99" s="8" t="s">
        <v>246</v>
      </c>
      <c r="C99" s="8" t="s">
        <v>12</v>
      </c>
      <c r="D99" s="10">
        <v>975</v>
      </c>
      <c r="E99" s="17" t="s">
        <v>22</v>
      </c>
      <c r="F99" s="18" t="s">
        <v>243</v>
      </c>
      <c r="G99" s="17" t="s">
        <v>24</v>
      </c>
      <c r="H99" s="42">
        <f t="shared" si="10"/>
        <v>5042.1149999999998</v>
      </c>
      <c r="I99" s="42">
        <v>707.8</v>
      </c>
      <c r="J99" s="42">
        <v>851.8</v>
      </c>
      <c r="K99" s="43">
        <v>729</v>
      </c>
      <c r="L99" s="44">
        <f>715.9-142.4+144.715</f>
        <v>718.21500000000003</v>
      </c>
      <c r="M99" s="52">
        <f>663.1</f>
        <v>663.1</v>
      </c>
      <c r="N99" s="44">
        <f>702.3-16.2</f>
        <v>686.09999999999991</v>
      </c>
      <c r="O99" s="44">
        <f>702.3-16.2</f>
        <v>686.09999999999991</v>
      </c>
    </row>
    <row r="100" spans="1:15" ht="45">
      <c r="A100" s="8" t="s">
        <v>166</v>
      </c>
      <c r="B100" s="8" t="s">
        <v>167</v>
      </c>
      <c r="C100" s="8" t="s">
        <v>12</v>
      </c>
      <c r="D100" s="10">
        <v>975</v>
      </c>
      <c r="E100" s="17" t="s">
        <v>22</v>
      </c>
      <c r="F100" s="18" t="s">
        <v>168</v>
      </c>
      <c r="G100" s="17" t="s">
        <v>53</v>
      </c>
      <c r="H100" s="42">
        <f t="shared" si="10"/>
        <v>1638.1080000000002</v>
      </c>
      <c r="I100" s="42">
        <v>357.8</v>
      </c>
      <c r="J100" s="42">
        <v>674</v>
      </c>
      <c r="K100" s="43">
        <f>96.682</f>
        <v>96.682000000000002</v>
      </c>
      <c r="L100" s="44">
        <f>338-98.32-25.546-2.275+1.37-0.588</f>
        <v>212.64100000000002</v>
      </c>
      <c r="M100" s="52">
        <v>140.33500000000001</v>
      </c>
      <c r="N100" s="44">
        <v>156.65</v>
      </c>
      <c r="O100" s="44">
        <v>0</v>
      </c>
    </row>
    <row r="101" spans="1:15" ht="75">
      <c r="A101" s="13" t="s">
        <v>170</v>
      </c>
      <c r="B101" s="13" t="s">
        <v>171</v>
      </c>
      <c r="C101" s="13" t="s">
        <v>235</v>
      </c>
      <c r="D101" s="14"/>
      <c r="E101" s="14"/>
      <c r="F101" s="15" t="s">
        <v>172</v>
      </c>
      <c r="G101" s="14"/>
      <c r="H101" s="45">
        <f>SUM(I101:O101)</f>
        <v>230.93599999999998</v>
      </c>
      <c r="I101" s="41">
        <f>I103+I105</f>
        <v>48.6</v>
      </c>
      <c r="J101" s="41">
        <f t="shared" ref="J101:L101" si="11">J103+J105</f>
        <v>45.599999999999994</v>
      </c>
      <c r="K101" s="47">
        <f t="shared" si="11"/>
        <v>53.6</v>
      </c>
      <c r="L101" s="41">
        <f t="shared" si="11"/>
        <v>17.135999999999999</v>
      </c>
      <c r="M101" s="51">
        <f>M103+M105</f>
        <v>66</v>
      </c>
      <c r="N101" s="41">
        <f t="shared" ref="N101:O101" si="12">N103+N105</f>
        <v>0</v>
      </c>
      <c r="O101" s="41">
        <f t="shared" si="12"/>
        <v>0</v>
      </c>
    </row>
    <row r="102" spans="1:15" ht="31.5" customHeight="1">
      <c r="A102" s="8" t="s">
        <v>18</v>
      </c>
      <c r="B102" s="91" t="s">
        <v>173</v>
      </c>
      <c r="C102" s="92"/>
      <c r="D102" s="10"/>
      <c r="E102" s="17"/>
      <c r="F102" s="18"/>
      <c r="G102" s="17"/>
      <c r="H102" s="42"/>
      <c r="I102" s="42"/>
      <c r="J102" s="42"/>
      <c r="K102" s="43"/>
      <c r="L102" s="44"/>
      <c r="M102" s="52"/>
      <c r="N102" s="44"/>
      <c r="O102" s="44"/>
    </row>
    <row r="103" spans="1:15" ht="45">
      <c r="A103" s="8" t="s">
        <v>175</v>
      </c>
      <c r="B103" s="8" t="s">
        <v>174</v>
      </c>
      <c r="C103" s="8" t="s">
        <v>12</v>
      </c>
      <c r="D103" s="10">
        <v>975</v>
      </c>
      <c r="E103" s="17" t="s">
        <v>22</v>
      </c>
      <c r="F103" s="18" t="s">
        <v>176</v>
      </c>
      <c r="G103" s="17" t="s">
        <v>177</v>
      </c>
      <c r="H103" s="42">
        <f>SUM(I103:O103)</f>
        <v>142.036</v>
      </c>
      <c r="I103" s="42">
        <v>27.5</v>
      </c>
      <c r="J103" s="42">
        <v>24.9</v>
      </c>
      <c r="K103" s="43">
        <f>32.5</f>
        <v>32.5</v>
      </c>
      <c r="L103" s="44">
        <f>12-7.864</f>
        <v>4.1360000000000001</v>
      </c>
      <c r="M103" s="52">
        <v>53</v>
      </c>
      <c r="N103" s="44">
        <v>0</v>
      </c>
      <c r="O103" s="44">
        <v>0</v>
      </c>
    </row>
    <row r="104" spans="1:15" ht="46.5" customHeight="1">
      <c r="A104" s="8" t="s">
        <v>18</v>
      </c>
      <c r="B104" s="91" t="s">
        <v>178</v>
      </c>
      <c r="C104" s="92"/>
      <c r="D104" s="10"/>
      <c r="E104" s="17"/>
      <c r="F104" s="18"/>
      <c r="G104" s="17"/>
      <c r="H104" s="42"/>
      <c r="I104" s="42"/>
      <c r="J104" s="42"/>
      <c r="K104" s="43"/>
      <c r="L104" s="44"/>
      <c r="M104" s="52"/>
      <c r="N104" s="44"/>
      <c r="O104" s="44"/>
    </row>
    <row r="105" spans="1:15" ht="45">
      <c r="A105" s="8" t="s">
        <v>179</v>
      </c>
      <c r="B105" s="8" t="s">
        <v>180</v>
      </c>
      <c r="C105" s="8" t="s">
        <v>12</v>
      </c>
      <c r="D105" s="10">
        <v>975</v>
      </c>
      <c r="E105" s="17" t="s">
        <v>22</v>
      </c>
      <c r="F105" s="18" t="s">
        <v>196</v>
      </c>
      <c r="G105" s="17" t="s">
        <v>177</v>
      </c>
      <c r="H105" s="42">
        <f>SUM(I105:O105)</f>
        <v>88.9</v>
      </c>
      <c r="I105" s="42">
        <v>21.1</v>
      </c>
      <c r="J105" s="42">
        <v>20.7</v>
      </c>
      <c r="K105" s="43">
        <v>21.1</v>
      </c>
      <c r="L105" s="44">
        <v>13</v>
      </c>
      <c r="M105" s="52">
        <v>13</v>
      </c>
      <c r="N105" s="44">
        <v>0</v>
      </c>
      <c r="O105" s="44">
        <v>0</v>
      </c>
    </row>
    <row r="106" spans="1:15" ht="75">
      <c r="A106" s="13" t="s">
        <v>181</v>
      </c>
      <c r="B106" s="13" t="s">
        <v>182</v>
      </c>
      <c r="C106" s="13" t="s">
        <v>237</v>
      </c>
      <c r="D106" s="14"/>
      <c r="E106" s="14"/>
      <c r="F106" s="15" t="s">
        <v>183</v>
      </c>
      <c r="G106" s="14"/>
      <c r="H106" s="45">
        <f>SUM(I106:O106)</f>
        <v>125289.28200000001</v>
      </c>
      <c r="I106" s="41">
        <f>I108+I112</f>
        <v>14457.8</v>
      </c>
      <c r="J106" s="41">
        <f t="shared" ref="J106:M106" si="13">J108+J112</f>
        <v>17711</v>
      </c>
      <c r="K106" s="47">
        <f t="shared" si="13"/>
        <v>18075.885999999999</v>
      </c>
      <c r="L106" s="41">
        <f t="shared" si="13"/>
        <v>17562.536</v>
      </c>
      <c r="M106" s="51">
        <f t="shared" si="13"/>
        <v>18587.968000000001</v>
      </c>
      <c r="N106" s="41">
        <f t="shared" ref="N106:O106" si="14">N108+N112</f>
        <v>18298.465</v>
      </c>
      <c r="O106" s="41">
        <f t="shared" si="14"/>
        <v>20595.627</v>
      </c>
    </row>
    <row r="107" spans="1:15" ht="32.25" customHeight="1">
      <c r="A107" s="8" t="s">
        <v>18</v>
      </c>
      <c r="B107" s="91" t="s">
        <v>184</v>
      </c>
      <c r="C107" s="92"/>
      <c r="D107" s="10"/>
      <c r="E107" s="17"/>
      <c r="F107" s="18"/>
      <c r="G107" s="17"/>
      <c r="H107" s="42"/>
      <c r="I107" s="42"/>
      <c r="J107" s="42"/>
      <c r="K107" s="43"/>
      <c r="L107" s="44"/>
      <c r="M107" s="52"/>
      <c r="N107" s="44"/>
      <c r="O107" s="44"/>
    </row>
    <row r="108" spans="1:15">
      <c r="A108" s="74" t="s">
        <v>185</v>
      </c>
      <c r="B108" s="77" t="s">
        <v>187</v>
      </c>
      <c r="C108" s="77" t="s">
        <v>12</v>
      </c>
      <c r="D108" s="77">
        <v>975</v>
      </c>
      <c r="E108" s="80" t="s">
        <v>22</v>
      </c>
      <c r="F108" s="83" t="s">
        <v>189</v>
      </c>
      <c r="G108" s="17"/>
      <c r="H108" s="42">
        <f>SUM(I108:O108)</f>
        <v>113674.682</v>
      </c>
      <c r="I108" s="42">
        <v>2843.2</v>
      </c>
      <c r="J108" s="42">
        <v>17711</v>
      </c>
      <c r="K108" s="43">
        <f>18075.886</f>
        <v>18075.885999999999</v>
      </c>
      <c r="L108" s="44">
        <f>17123.686+34.5+300+104.35</f>
        <v>17562.536</v>
      </c>
      <c r="M108" s="52">
        <v>18587.968000000001</v>
      </c>
      <c r="N108" s="44">
        <f>SUM(N109:N111)</f>
        <v>18298.465</v>
      </c>
      <c r="O108" s="44">
        <f>SUM(O109:O111)</f>
        <v>20595.627</v>
      </c>
    </row>
    <row r="109" spans="1:15">
      <c r="A109" s="75"/>
      <c r="B109" s="78"/>
      <c r="C109" s="78"/>
      <c r="D109" s="78"/>
      <c r="E109" s="81"/>
      <c r="F109" s="84"/>
      <c r="G109" s="17" t="s">
        <v>254</v>
      </c>
      <c r="H109" s="42"/>
      <c r="I109" s="42"/>
      <c r="J109" s="42"/>
      <c r="K109" s="43"/>
      <c r="L109" s="44"/>
      <c r="M109" s="69">
        <v>14411.605</v>
      </c>
      <c r="N109" s="70">
        <v>16636.627</v>
      </c>
      <c r="O109" s="70">
        <v>16616.627</v>
      </c>
    </row>
    <row r="110" spans="1:15">
      <c r="A110" s="75"/>
      <c r="B110" s="78"/>
      <c r="C110" s="78"/>
      <c r="D110" s="78"/>
      <c r="E110" s="81"/>
      <c r="F110" s="84"/>
      <c r="G110" s="17" t="s">
        <v>52</v>
      </c>
      <c r="H110" s="42"/>
      <c r="I110" s="42"/>
      <c r="J110" s="42"/>
      <c r="K110" s="43"/>
      <c r="L110" s="44"/>
      <c r="M110" s="69">
        <v>4134.9040000000005</v>
      </c>
      <c r="N110" s="70">
        <f>3934-2320.162</f>
        <v>1613.8380000000002</v>
      </c>
      <c r="O110" s="70">
        <v>3934</v>
      </c>
    </row>
    <row r="111" spans="1:15">
      <c r="A111" s="76"/>
      <c r="B111" s="79"/>
      <c r="C111" s="79"/>
      <c r="D111" s="79"/>
      <c r="E111" s="82"/>
      <c r="F111" s="85"/>
      <c r="G111" s="17" t="s">
        <v>255</v>
      </c>
      <c r="H111" s="42"/>
      <c r="I111" s="42"/>
      <c r="J111" s="42"/>
      <c r="K111" s="43"/>
      <c r="L111" s="44"/>
      <c r="M111" s="69">
        <v>41.459000000000003</v>
      </c>
      <c r="N111" s="70">
        <v>48</v>
      </c>
      <c r="O111" s="70">
        <v>45</v>
      </c>
    </row>
    <row r="112" spans="1:15" ht="52.5" customHeight="1">
      <c r="A112" s="8" t="s">
        <v>186</v>
      </c>
      <c r="B112" s="8" t="s">
        <v>188</v>
      </c>
      <c r="C112" s="8" t="s">
        <v>12</v>
      </c>
      <c r="D112" s="10">
        <v>975</v>
      </c>
      <c r="E112" s="17" t="s">
        <v>22</v>
      </c>
      <c r="F112" s="18" t="s">
        <v>191</v>
      </c>
      <c r="G112" s="17" t="s">
        <v>190</v>
      </c>
      <c r="H112" s="42">
        <f>SUM(I112:O112)</f>
        <v>11614.6</v>
      </c>
      <c r="I112" s="42">
        <v>11614.6</v>
      </c>
      <c r="J112" s="42">
        <v>0</v>
      </c>
      <c r="K112" s="43">
        <v>0</v>
      </c>
      <c r="L112" s="44">
        <v>0</v>
      </c>
      <c r="M112" s="52">
        <v>0</v>
      </c>
      <c r="N112" s="44">
        <v>0</v>
      </c>
      <c r="O112" s="44">
        <v>0</v>
      </c>
    </row>
  </sheetData>
  <mergeCells count="43">
    <mergeCell ref="B107:C107"/>
    <mergeCell ref="A91:A92"/>
    <mergeCell ref="B97:C97"/>
    <mergeCell ref="A98:A99"/>
    <mergeCell ref="B102:C102"/>
    <mergeCell ref="B104:C104"/>
    <mergeCell ref="B78:C78"/>
    <mergeCell ref="A79:A81"/>
    <mergeCell ref="B82:C82"/>
    <mergeCell ref="B90:C90"/>
    <mergeCell ref="A8:O8"/>
    <mergeCell ref="H10:O10"/>
    <mergeCell ref="C10:C11"/>
    <mergeCell ref="B72:C72"/>
    <mergeCell ref="B86:C86"/>
    <mergeCell ref="A83:A85"/>
    <mergeCell ref="B54:C54"/>
    <mergeCell ref="A55:A57"/>
    <mergeCell ref="B58:C58"/>
    <mergeCell ref="B66:C66"/>
    <mergeCell ref="B68:C68"/>
    <mergeCell ref="B75:C75"/>
    <mergeCell ref="A17:A18"/>
    <mergeCell ref="A10:A11"/>
    <mergeCell ref="B10:B11"/>
    <mergeCell ref="A23:A24"/>
    <mergeCell ref="B25:C25"/>
    <mergeCell ref="K1:O3"/>
    <mergeCell ref="A108:A111"/>
    <mergeCell ref="D108:D111"/>
    <mergeCell ref="E108:E111"/>
    <mergeCell ref="F108:F111"/>
    <mergeCell ref="C108:C111"/>
    <mergeCell ref="B108:B111"/>
    <mergeCell ref="M5:O5"/>
    <mergeCell ref="L6:O6"/>
    <mergeCell ref="A44:A45"/>
    <mergeCell ref="A38:A42"/>
    <mergeCell ref="A34:A35"/>
    <mergeCell ref="D10:G10"/>
    <mergeCell ref="B20:C20"/>
    <mergeCell ref="B14:C14"/>
    <mergeCell ref="A15:A16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2019-05-27T11:34:29Z</dcterms:modified>
</cp:coreProperties>
</file>