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Лист1!$A$1:$J$264</definedName>
  </definedNames>
  <calcPr calcId="125725"/>
</workbook>
</file>

<file path=xl/calcChain.xml><?xml version="1.0" encoding="utf-8"?>
<calcChain xmlns="http://schemas.openxmlformats.org/spreadsheetml/2006/main">
  <c r="E74" i="1"/>
  <c r="F74"/>
  <c r="G74"/>
  <c r="H74"/>
  <c r="I74"/>
  <c r="J74"/>
  <c r="D74"/>
  <c r="E138"/>
  <c r="F138"/>
  <c r="G138"/>
  <c r="H138"/>
  <c r="I138"/>
  <c r="J138"/>
  <c r="D138"/>
  <c r="E166"/>
  <c r="F166"/>
  <c r="G166"/>
  <c r="H166"/>
  <c r="I166"/>
  <c r="J166"/>
  <c r="D166"/>
  <c r="E15"/>
  <c r="E11" s="1"/>
  <c r="F15"/>
  <c r="G15"/>
  <c r="G11" s="1"/>
  <c r="H15"/>
  <c r="H11" s="1"/>
  <c r="I15"/>
  <c r="I11" s="1"/>
  <c r="J15"/>
  <c r="D15"/>
  <c r="D11" s="1"/>
  <c r="E192"/>
  <c r="F192"/>
  <c r="G192"/>
  <c r="H192"/>
  <c r="I192"/>
  <c r="J192"/>
  <c r="D192"/>
  <c r="E31"/>
  <c r="F31"/>
  <c r="G31"/>
  <c r="H31"/>
  <c r="I31"/>
  <c r="J31"/>
  <c r="D31"/>
  <c r="F45"/>
  <c r="J11" l="1"/>
  <c r="F11"/>
  <c r="G233"/>
  <c r="G240"/>
  <c r="G234" s="1"/>
  <c r="G232" s="1"/>
  <c r="G215"/>
  <c r="G76"/>
  <c r="G17"/>
  <c r="G60"/>
  <c r="I260"/>
  <c r="I200"/>
  <c r="I204"/>
  <c r="I165" s="1"/>
  <c r="I203"/>
  <c r="I76"/>
  <c r="J84"/>
  <c r="I84"/>
  <c r="H84"/>
  <c r="G84"/>
  <c r="F84"/>
  <c r="E84"/>
  <c r="D84"/>
  <c r="D22"/>
  <c r="I27"/>
  <c r="I17"/>
  <c r="I26"/>
  <c r="J22"/>
  <c r="I22"/>
  <c r="H22"/>
  <c r="G22"/>
  <c r="F22"/>
  <c r="E22"/>
  <c r="I240"/>
  <c r="I164" l="1"/>
  <c r="I163" s="1"/>
  <c r="I188"/>
  <c r="J241" l="1"/>
  <c r="I241"/>
  <c r="H241"/>
  <c r="G241"/>
  <c r="F241"/>
  <c r="E241"/>
  <c r="D241"/>
  <c r="I205"/>
  <c r="J205"/>
  <c r="H205"/>
  <c r="G205"/>
  <c r="F205"/>
  <c r="E205"/>
  <c r="D205"/>
  <c r="I109"/>
  <c r="J81"/>
  <c r="I81"/>
  <c r="H81"/>
  <c r="G81"/>
  <c r="F81"/>
  <c r="E81"/>
  <c r="D81"/>
  <c r="I45"/>
  <c r="I13" s="1"/>
  <c r="J25"/>
  <c r="I25"/>
  <c r="H25"/>
  <c r="G25"/>
  <c r="F25"/>
  <c r="E25"/>
  <c r="D25"/>
  <c r="J240"/>
  <c r="J236"/>
  <c r="I236"/>
  <c r="I233" s="1"/>
  <c r="E72"/>
  <c r="J160"/>
  <c r="I160"/>
  <c r="H160"/>
  <c r="G160"/>
  <c r="F160"/>
  <c r="E160"/>
  <c r="D160"/>
  <c r="J153"/>
  <c r="I153"/>
  <c r="I73" s="1"/>
  <c r="J152"/>
  <c r="J72" s="1"/>
  <c r="I152"/>
  <c r="J21"/>
  <c r="I21"/>
  <c r="I14" s="1"/>
  <c r="I12" l="1"/>
  <c r="I72"/>
  <c r="I71" s="1"/>
  <c r="H17"/>
  <c r="F260"/>
  <c r="F224"/>
  <c r="F19"/>
  <c r="H204"/>
  <c r="H203"/>
  <c r="H164" s="1"/>
  <c r="H153"/>
  <c r="H152"/>
  <c r="H109"/>
  <c r="H106"/>
  <c r="H94"/>
  <c r="H91"/>
  <c r="H80"/>
  <c r="H63"/>
  <c r="H45"/>
  <c r="H39"/>
  <c r="H37"/>
  <c r="H21"/>
  <c r="E99" l="1"/>
  <c r="F99"/>
  <c r="G99"/>
  <c r="H99"/>
  <c r="I99"/>
  <c r="J99"/>
  <c r="D99"/>
  <c r="D96"/>
  <c r="H60" l="1"/>
  <c r="H151" l="1"/>
  <c r="H16" l="1"/>
  <c r="H240"/>
  <c r="H236"/>
  <c r="H165"/>
  <c r="H163" s="1"/>
  <c r="H202"/>
  <c r="H124"/>
  <c r="H72" s="1"/>
  <c r="H51"/>
  <c r="H13" s="1"/>
  <c r="J13"/>
  <c r="J244"/>
  <c r="I244"/>
  <c r="H89"/>
  <c r="H73" s="1"/>
  <c r="H244"/>
  <c r="E165"/>
  <c r="F165"/>
  <c r="G165"/>
  <c r="J165"/>
  <c r="D165"/>
  <c r="G229"/>
  <c r="J157"/>
  <c r="I157"/>
  <c r="H157"/>
  <c r="G157"/>
  <c r="F157"/>
  <c r="E157"/>
  <c r="D157"/>
  <c r="G94"/>
  <c r="G80"/>
  <c r="G69"/>
  <c r="G68" s="1"/>
  <c r="G39"/>
  <c r="G21"/>
  <c r="E164"/>
  <c r="E163" s="1"/>
  <c r="J164"/>
  <c r="D164"/>
  <c r="D163" s="1"/>
  <c r="J202"/>
  <c r="I202"/>
  <c r="G202"/>
  <c r="F202"/>
  <c r="E202"/>
  <c r="D202"/>
  <c r="G115"/>
  <c r="E73"/>
  <c r="E71" s="1"/>
  <c r="F73"/>
  <c r="D73"/>
  <c r="J102"/>
  <c r="I102"/>
  <c r="H102"/>
  <c r="G102"/>
  <c r="F102"/>
  <c r="E102"/>
  <c r="D102"/>
  <c r="E13"/>
  <c r="D13"/>
  <c r="J68"/>
  <c r="I68"/>
  <c r="H68"/>
  <c r="F68"/>
  <c r="E68"/>
  <c r="D68"/>
  <c r="G45"/>
  <c r="G251"/>
  <c r="D229"/>
  <c r="J229"/>
  <c r="I229"/>
  <c r="H229"/>
  <c r="F229"/>
  <c r="E229"/>
  <c r="J163" l="1"/>
  <c r="H71"/>
  <c r="H235"/>
  <c r="H233"/>
  <c r="J73"/>
  <c r="J71" s="1"/>
  <c r="G13"/>
  <c r="G227"/>
  <c r="G226" s="1"/>
  <c r="G155"/>
  <c r="G154" s="1"/>
  <c r="G106"/>
  <c r="G73"/>
  <c r="J226"/>
  <c r="I226"/>
  <c r="H226"/>
  <c r="F226"/>
  <c r="E226"/>
  <c r="D226"/>
  <c r="J154"/>
  <c r="I154"/>
  <c r="H154"/>
  <c r="F154"/>
  <c r="E154"/>
  <c r="D154"/>
  <c r="D152" s="1"/>
  <c r="D72" s="1"/>
  <c r="D71" s="1"/>
  <c r="J151"/>
  <c r="I151"/>
  <c r="G151"/>
  <c r="F151"/>
  <c r="E151"/>
  <c r="G72" l="1"/>
  <c r="G71" s="1"/>
  <c r="D151"/>
  <c r="G164"/>
  <c r="G163" s="1"/>
  <c r="F63"/>
  <c r="F60"/>
  <c r="F42"/>
  <c r="F149" l="1"/>
  <c r="F148" s="1"/>
  <c r="F223"/>
  <c r="F199"/>
  <c r="F185"/>
  <c r="F115"/>
  <c r="F72" s="1"/>
  <c r="F71" s="1"/>
  <c r="F93"/>
  <c r="F65"/>
  <c r="F44"/>
  <c r="F41"/>
  <c r="F38"/>
  <c r="F244"/>
  <c r="F235"/>
  <c r="D223"/>
  <c r="J223"/>
  <c r="I223"/>
  <c r="H223"/>
  <c r="G223"/>
  <c r="E223"/>
  <c r="F129"/>
  <c r="F90"/>
  <c r="F59"/>
  <c r="F54"/>
  <c r="F53" s="1"/>
  <c r="F238"/>
  <c r="J148"/>
  <c r="I148"/>
  <c r="H148"/>
  <c r="G148"/>
  <c r="E148"/>
  <c r="D148"/>
  <c r="J65"/>
  <c r="I65"/>
  <c r="H65"/>
  <c r="G65"/>
  <c r="E65"/>
  <c r="D65"/>
  <c r="F14"/>
  <c r="F259"/>
  <c r="F212"/>
  <c r="J185"/>
  <c r="I185"/>
  <c r="H185"/>
  <c r="G185"/>
  <c r="E185"/>
  <c r="D185"/>
  <c r="F108"/>
  <c r="F62"/>
  <c r="E258"/>
  <c r="F258"/>
  <c r="G258"/>
  <c r="H258"/>
  <c r="I258"/>
  <c r="J258"/>
  <c r="D258"/>
  <c r="E257"/>
  <c r="G257"/>
  <c r="H257"/>
  <c r="I257"/>
  <c r="J257"/>
  <c r="D257"/>
  <c r="J262"/>
  <c r="I262"/>
  <c r="H262"/>
  <c r="G262"/>
  <c r="F262"/>
  <c r="E262"/>
  <c r="D262"/>
  <c r="J259"/>
  <c r="I259"/>
  <c r="H259"/>
  <c r="G259"/>
  <c r="E259"/>
  <c r="D259"/>
  <c r="E248"/>
  <c r="F248"/>
  <c r="G248"/>
  <c r="H248"/>
  <c r="I248"/>
  <c r="I9" s="1"/>
  <c r="J248"/>
  <c r="E249"/>
  <c r="F249"/>
  <c r="G249"/>
  <c r="H249"/>
  <c r="I249"/>
  <c r="J249"/>
  <c r="D249"/>
  <c r="D248"/>
  <c r="J253"/>
  <c r="I253"/>
  <c r="H253"/>
  <c r="G253"/>
  <c r="F253"/>
  <c r="E253"/>
  <c r="D253"/>
  <c r="J250"/>
  <c r="I250"/>
  <c r="H250"/>
  <c r="G250"/>
  <c r="F250"/>
  <c r="E250"/>
  <c r="D250"/>
  <c r="E234"/>
  <c r="F234"/>
  <c r="H234"/>
  <c r="H232" s="1"/>
  <c r="I234"/>
  <c r="J234"/>
  <c r="D234"/>
  <c r="E233"/>
  <c r="J233"/>
  <c r="D233"/>
  <c r="G244"/>
  <c r="E244"/>
  <c r="D244"/>
  <c r="J238"/>
  <c r="I238"/>
  <c r="H238"/>
  <c r="G238"/>
  <c r="E238"/>
  <c r="D238"/>
  <c r="J235"/>
  <c r="I235"/>
  <c r="G235"/>
  <c r="E235"/>
  <c r="D235"/>
  <c r="J220"/>
  <c r="I220"/>
  <c r="H220"/>
  <c r="G220"/>
  <c r="F220"/>
  <c r="E220"/>
  <c r="D220"/>
  <c r="J217"/>
  <c r="I217"/>
  <c r="H217"/>
  <c r="G217"/>
  <c r="F217"/>
  <c r="E217"/>
  <c r="D217"/>
  <c r="J214"/>
  <c r="I214"/>
  <c r="H214"/>
  <c r="G214"/>
  <c r="F214"/>
  <c r="E214"/>
  <c r="D214"/>
  <c r="J211"/>
  <c r="I211"/>
  <c r="H211"/>
  <c r="G211"/>
  <c r="E211"/>
  <c r="D211"/>
  <c r="J208"/>
  <c r="I208"/>
  <c r="H208"/>
  <c r="G208"/>
  <c r="F208"/>
  <c r="E208"/>
  <c r="D208"/>
  <c r="J199"/>
  <c r="I199"/>
  <c r="H199"/>
  <c r="G199"/>
  <c r="E199"/>
  <c r="D199"/>
  <c r="J196"/>
  <c r="I196"/>
  <c r="H196"/>
  <c r="G196"/>
  <c r="F196"/>
  <c r="E196"/>
  <c r="D196"/>
  <c r="J188"/>
  <c r="H188"/>
  <c r="G188"/>
  <c r="F188"/>
  <c r="E188"/>
  <c r="D188"/>
  <c r="J182"/>
  <c r="I182"/>
  <c r="H182"/>
  <c r="G182"/>
  <c r="F182"/>
  <c r="E182"/>
  <c r="D182"/>
  <c r="J179"/>
  <c r="I179"/>
  <c r="H179"/>
  <c r="G179"/>
  <c r="F179"/>
  <c r="E179"/>
  <c r="D179"/>
  <c r="J176"/>
  <c r="I176"/>
  <c r="H176"/>
  <c r="G176"/>
  <c r="F176"/>
  <c r="E176"/>
  <c r="D176"/>
  <c r="J173"/>
  <c r="I173"/>
  <c r="H173"/>
  <c r="G173"/>
  <c r="F173"/>
  <c r="E173"/>
  <c r="D173"/>
  <c r="D170"/>
  <c r="J170"/>
  <c r="I170"/>
  <c r="H170"/>
  <c r="G170"/>
  <c r="F170"/>
  <c r="E170"/>
  <c r="E167"/>
  <c r="F167"/>
  <c r="G167"/>
  <c r="H167"/>
  <c r="I167"/>
  <c r="J167"/>
  <c r="D167"/>
  <c r="E145"/>
  <c r="F145"/>
  <c r="G145"/>
  <c r="H145"/>
  <c r="I145"/>
  <c r="J145"/>
  <c r="D145"/>
  <c r="E142"/>
  <c r="F142"/>
  <c r="G142"/>
  <c r="H142"/>
  <c r="I142"/>
  <c r="J142"/>
  <c r="D142"/>
  <c r="E135"/>
  <c r="F135"/>
  <c r="G135"/>
  <c r="H135"/>
  <c r="I135"/>
  <c r="J135"/>
  <c r="D135"/>
  <c r="E132"/>
  <c r="F132"/>
  <c r="G132"/>
  <c r="H132"/>
  <c r="I132"/>
  <c r="J132"/>
  <c r="D132"/>
  <c r="E129"/>
  <c r="G129"/>
  <c r="H129"/>
  <c r="I129"/>
  <c r="J129"/>
  <c r="D129"/>
  <c r="E126"/>
  <c r="F126"/>
  <c r="G126"/>
  <c r="H126"/>
  <c r="I126"/>
  <c r="J126"/>
  <c r="D126"/>
  <c r="E123"/>
  <c r="F123"/>
  <c r="G123"/>
  <c r="H123"/>
  <c r="I123"/>
  <c r="J123"/>
  <c r="D123"/>
  <c r="E120"/>
  <c r="F120"/>
  <c r="G120"/>
  <c r="H120"/>
  <c r="I120"/>
  <c r="J120"/>
  <c r="D120"/>
  <c r="E117"/>
  <c r="F117"/>
  <c r="G117"/>
  <c r="H117"/>
  <c r="I117"/>
  <c r="J117"/>
  <c r="D117"/>
  <c r="E114"/>
  <c r="G114"/>
  <c r="H114"/>
  <c r="I114"/>
  <c r="J114"/>
  <c r="D114"/>
  <c r="E111"/>
  <c r="F111"/>
  <c r="G111"/>
  <c r="H111"/>
  <c r="I111"/>
  <c r="J111"/>
  <c r="D111"/>
  <c r="E108"/>
  <c r="G108"/>
  <c r="H108"/>
  <c r="I108"/>
  <c r="J108"/>
  <c r="D108"/>
  <c r="E105"/>
  <c r="G105"/>
  <c r="H105"/>
  <c r="I105"/>
  <c r="J105"/>
  <c r="D105"/>
  <c r="E96"/>
  <c r="F96"/>
  <c r="G96"/>
  <c r="H96"/>
  <c r="I96"/>
  <c r="J96"/>
  <c r="E93"/>
  <c r="G93"/>
  <c r="H93"/>
  <c r="I93"/>
  <c r="J93"/>
  <c r="D93"/>
  <c r="E90"/>
  <c r="G90"/>
  <c r="H90"/>
  <c r="I90"/>
  <c r="J90"/>
  <c r="D90"/>
  <c r="E87"/>
  <c r="F87"/>
  <c r="G87"/>
  <c r="H87"/>
  <c r="I87"/>
  <c r="J87"/>
  <c r="D87"/>
  <c r="E78"/>
  <c r="G78"/>
  <c r="H78"/>
  <c r="I78"/>
  <c r="J78"/>
  <c r="D78"/>
  <c r="E75"/>
  <c r="G75"/>
  <c r="H75"/>
  <c r="I75"/>
  <c r="J75"/>
  <c r="D75"/>
  <c r="E14"/>
  <c r="E12" s="1"/>
  <c r="G14"/>
  <c r="G12" s="1"/>
  <c r="H14"/>
  <c r="H12" s="1"/>
  <c r="J14"/>
  <c r="J12" s="1"/>
  <c r="D14"/>
  <c r="D12" s="1"/>
  <c r="E62"/>
  <c r="G62"/>
  <c r="H62"/>
  <c r="I62"/>
  <c r="J62"/>
  <c r="D62"/>
  <c r="E59"/>
  <c r="G59"/>
  <c r="H59"/>
  <c r="I59"/>
  <c r="J59"/>
  <c r="D59"/>
  <c r="E56"/>
  <c r="F56"/>
  <c r="G56"/>
  <c r="H56"/>
  <c r="I56"/>
  <c r="J56"/>
  <c r="D56"/>
  <c r="E53"/>
  <c r="G53"/>
  <c r="H53"/>
  <c r="I53"/>
  <c r="J53"/>
  <c r="D53"/>
  <c r="E50"/>
  <c r="F50"/>
  <c r="G50"/>
  <c r="H50"/>
  <c r="I50"/>
  <c r="J50"/>
  <c r="D50"/>
  <c r="E47"/>
  <c r="F47"/>
  <c r="G47"/>
  <c r="H47"/>
  <c r="I47"/>
  <c r="J47"/>
  <c r="D47"/>
  <c r="E44"/>
  <c r="G44"/>
  <c r="H44"/>
  <c r="I44"/>
  <c r="J44"/>
  <c r="D44"/>
  <c r="E41"/>
  <c r="G41"/>
  <c r="H41"/>
  <c r="I41"/>
  <c r="J41"/>
  <c r="D41"/>
  <c r="E38"/>
  <c r="G38"/>
  <c r="H38"/>
  <c r="I38"/>
  <c r="J38"/>
  <c r="D38"/>
  <c r="E35"/>
  <c r="F35"/>
  <c r="G35"/>
  <c r="H35"/>
  <c r="I35"/>
  <c r="J35"/>
  <c r="D35"/>
  <c r="E28"/>
  <c r="F28"/>
  <c r="G28"/>
  <c r="H28"/>
  <c r="I28"/>
  <c r="J28"/>
  <c r="D28"/>
  <c r="D9" l="1"/>
  <c r="I232"/>
  <c r="I10"/>
  <c r="F13"/>
  <c r="F12" s="1"/>
  <c r="F164"/>
  <c r="F163" s="1"/>
  <c r="F211"/>
  <c r="F114"/>
  <c r="F233"/>
  <c r="F232" s="1"/>
  <c r="F105"/>
  <c r="F75"/>
  <c r="F78"/>
  <c r="J256"/>
  <c r="F257"/>
  <c r="F256" s="1"/>
  <c r="F10"/>
  <c r="I247"/>
  <c r="E247"/>
  <c r="G9"/>
  <c r="F247"/>
  <c r="I256"/>
  <c r="E256"/>
  <c r="J10"/>
  <c r="H9"/>
  <c r="G10"/>
  <c r="D256"/>
  <c r="E9"/>
  <c r="H10"/>
  <c r="J9"/>
  <c r="E10"/>
  <c r="G247"/>
  <c r="D10"/>
  <c r="D232"/>
  <c r="D8" s="1"/>
  <c r="D247"/>
  <c r="J247"/>
  <c r="G256"/>
  <c r="H256"/>
  <c r="H247"/>
  <c r="E232"/>
  <c r="J232"/>
  <c r="E19"/>
  <c r="G19"/>
  <c r="H19"/>
  <c r="I19"/>
  <c r="J19"/>
  <c r="D19"/>
  <c r="E16"/>
  <c r="F16"/>
  <c r="G16"/>
  <c r="I16"/>
  <c r="J16"/>
  <c r="D16"/>
  <c r="I8" l="1"/>
  <c r="F8"/>
  <c r="F9"/>
  <c r="G8"/>
  <c r="E8"/>
  <c r="H8"/>
  <c r="J8"/>
</calcChain>
</file>

<file path=xl/sharedStrings.xml><?xml version="1.0" encoding="utf-8"?>
<sst xmlns="http://schemas.openxmlformats.org/spreadsheetml/2006/main" count="408" uniqueCount="149">
  <si>
    <t>Статус</t>
  </si>
  <si>
    <t>Наименование муниципальной программы, основного мероприятия</t>
  </si>
  <si>
    <t>Муниципальная программа</t>
  </si>
  <si>
    <t>Развитие образования в Княжпогостском районе</t>
  </si>
  <si>
    <t>Подпрограмма 1</t>
  </si>
  <si>
    <t>Развитие системы дошкольного образования в Княжпогостском районе</t>
  </si>
  <si>
    <t>1.1.1. Выполнение планового объема оказываемых муниципальных услуг, установленного муниципальным заданием</t>
  </si>
  <si>
    <t>1.1.1. Создание дополнительных групп в дошкольных образовательных организациях</t>
  </si>
  <si>
    <t>1.2.2. Поддержка реализации мероприятий Федеральной целевой программы развития образованияна 2011-2015 годы в части модернизации регионально-муниципальных систем дошкольного образования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</si>
  <si>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</si>
  <si>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Проведение капитальных ремонтов в дошкольных образовательных организациях</t>
  </si>
  <si>
    <t>Проведение текущих ремонтов в дошкольных образовательных организациях</t>
  </si>
  <si>
    <t>1.6.1. Выполнение противопожарных мероприятий в дошкольных образовательных организациях</t>
  </si>
  <si>
    <t>1.6.2. Обеспечение первичных мер пожарной безопасности муниципальных образовательных организаций</t>
  </si>
  <si>
    <t>Развитие кадровых ресурсов системы дошкольного образования (организация и проведение районного конкурса "Воспитатель года")</t>
  </si>
  <si>
    <t>Развитие инновационного потенциала педагогов дошкольного образования и дошкольных образовательных организаций (организация и проведение районного конкурса «Лучший детский сад года», районного конкурса на присуждение премий руководителя администрации МР «Княжпогостский»)</t>
  </si>
  <si>
    <t>Укрепление материально-технической базы в дошкольных образовательных организациях</t>
  </si>
  <si>
    <t>Предоставление доступа к сети Интернет</t>
  </si>
  <si>
    <t>Подпрограмма 2</t>
  </si>
  <si>
    <t>Развитие системы общего образования в Княжпогостском районе</t>
  </si>
  <si>
    <t>2.1.1. Оказание муниципальных услуг (выполнение работ) общеобразовательными организациями</t>
  </si>
  <si>
    <t>2.1.2.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</si>
  <si>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 xml:space="preserve">Укрепление материально-технической базы </t>
  </si>
  <si>
    <t>Субсидия на укрепление материально-технической базы муниципальных образовательных организаций</t>
  </si>
  <si>
    <t>Проведение капитальных ремонтов в общеобразовательных учреждениях</t>
  </si>
  <si>
    <t>2.6.2. Обеспечение первичных мер пожарной безопасности муниципальных образовательных организаций</t>
  </si>
  <si>
    <t>Проведение текущих ремонтов в общеобразовательных учреждениях</t>
  </si>
  <si>
    <t>Строительство образовательных организаций, в том числе изготовление ПСД и осуществление технологического присоединения к электрическим сетям</t>
  </si>
  <si>
    <t>Развитие системы оценки качества общего образования (проведение олимпиад, ЕГЭ)</t>
  </si>
  <si>
    <t>Развитие кадровых ресурсов системы общего образования</t>
  </si>
  <si>
    <t>2.15.1. Создание безбарьерной среды для детей с ограниченными возможностями здоровья</t>
  </si>
  <si>
    <t>2.15.2. Субсидии на мероприятия государственной программы Российской Федерации «Доступная среда» на 2011-2015 годы</t>
  </si>
  <si>
    <t>2.15.3. Субсидии на проведение мероприятий по формированию сети базовых общеобразовательных организаций, в которых созданы условия для инклюзивного обучения детей-инвалидов</t>
  </si>
  <si>
    <t>Иные межбюджетные трансферты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</si>
  <si>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Подпрограмма 3</t>
  </si>
  <si>
    <t>Дети и молодежь Княжпогостского района</t>
  </si>
  <si>
    <t>Организация районного слета лидеров ученического самоуправления образовательных организаций</t>
  </si>
  <si>
    <t>Содействие трудоустройству и временной занятости молодежи</t>
  </si>
  <si>
    <t>Районный конкурс «Твоя будущая пенсия зависит от тебя»</t>
  </si>
  <si>
    <t>Пропаганда здорового образа жизни среди
молодежи</t>
  </si>
  <si>
    <t>Приобретение детских площадок, спортивного инвентаря и оборудования</t>
  </si>
  <si>
    <t>3.11.2 Мероприятия подпрограммы "Обеспечение жильем молодых семей федеральной программы "Жилище"</t>
  </si>
  <si>
    <t>3.11.3 Предоставление социальных выплат молодым семьям на приобретение жилого помещения или создания объекта индивидуального жилого строительства</t>
  </si>
  <si>
    <t>Выполнение планового объема оказываемых услуг, установленного муниципальным заданием</t>
  </si>
  <si>
    <t xml:space="preserve">Проведение капитальных ремонтов в организациях дополнительного образования детей </t>
  </si>
  <si>
    <t>Проведение текущих ремонтов в организациях дополнительного образования детей</t>
  </si>
  <si>
    <t>3.18.1. Создание в общеобразовательных организациях, расположенных в сельской местности, условий для занятий физической культурой и спортом, за счет средств МБ</t>
  </si>
  <si>
    <t>3.18.2. Субсидии на создание в общеобразовательных организациях, расположенных в сельской местности, условий для занятий физкультурой и спортом</t>
  </si>
  <si>
    <t>Подпрограмма 4</t>
  </si>
  <si>
    <t>Организация оздоровления и отдыха детей Княжпогостского района</t>
  </si>
  <si>
    <t>Организация оздоровления и отдыха детей на базе выездных оздоровительных лагерей</t>
  </si>
  <si>
    <t>Подпрограмма 5</t>
  </si>
  <si>
    <t>Допризывная подготовка граждан Российской Федерации в Княжпогостском районе</t>
  </si>
  <si>
    <t>Военно-патриотическое воспитание молодежи допризывного возраста</t>
  </si>
  <si>
    <t>Проведение спортивно-массовых мероприятий для молодёжи допризывного возраста</t>
  </si>
  <si>
    <t>Подпрограмма 6</t>
  </si>
  <si>
    <t>Обеспечение условий для реализации муниципальной программы</t>
  </si>
  <si>
    <t>Расходы в целях обеспечения выполнения функций органа местного самоуправления</t>
  </si>
  <si>
    <t>Обеспечение деятельности подведомственных организаций</t>
  </si>
  <si>
    <t>Источник финансирования</t>
  </si>
  <si>
    <t>всего</t>
  </si>
  <si>
    <t>местные бюджеты</t>
  </si>
  <si>
    <t>республиканские бюджеты РК</t>
  </si>
  <si>
    <t>1.1.</t>
  </si>
  <si>
    <t>1.2.</t>
  </si>
  <si>
    <t>1.3.</t>
  </si>
  <si>
    <t>1.4.</t>
  </si>
  <si>
    <t>1.5.</t>
  </si>
  <si>
    <t>1.6.</t>
  </si>
  <si>
    <t>1.9.</t>
  </si>
  <si>
    <t>1.10.</t>
  </si>
  <si>
    <t>1.11.</t>
  </si>
  <si>
    <t>1.12.</t>
  </si>
  <si>
    <t>1.13.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</si>
  <si>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</si>
  <si>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</si>
  <si>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</si>
  <si>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</si>
  <si>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</si>
  <si>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</si>
  <si>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</si>
  <si>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</si>
  <si>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</si>
  <si>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2.11.</t>
  </si>
  <si>
    <t>2.12.</t>
  </si>
  <si>
    <t>2.13.</t>
  </si>
  <si>
    <t>2.14.</t>
  </si>
  <si>
    <t>2.15.</t>
  </si>
  <si>
    <t>2.16.</t>
  </si>
  <si>
    <t>3.2.</t>
  </si>
  <si>
    <t>3.5.</t>
  </si>
  <si>
    <t>3.8.</t>
  </si>
  <si>
    <t>3.9.</t>
  </si>
  <si>
    <t>3.10.</t>
  </si>
  <si>
    <t>3.11.</t>
  </si>
  <si>
    <t>3.12.</t>
  </si>
  <si>
    <t>3.15.</t>
  </si>
  <si>
    <t>3.16.</t>
  </si>
  <si>
    <t>3.17.</t>
  </si>
  <si>
    <t>3.18.</t>
  </si>
  <si>
    <t>4.1.</t>
  </si>
  <si>
    <t>4.2.</t>
  </si>
  <si>
    <t>5.2.</t>
  </si>
  <si>
    <t xml:space="preserve"> 5.6.</t>
  </si>
  <si>
    <t>6.1.</t>
  </si>
  <si>
    <t>6.2.</t>
  </si>
  <si>
    <t>3.13.</t>
  </si>
  <si>
    <t>1.14.</t>
  </si>
  <si>
    <t>2.17.</t>
  </si>
  <si>
    <t>Исполнение штрафных санкций надзорных и контролирующих органов в дошкольных организациях</t>
  </si>
  <si>
    <t>2.6.1. Выполнение противопожарных мероприятий в общеобразовательных организациях</t>
  </si>
  <si>
    <t>Исполнение штрафных санкций надзорных и контролирующих органов в общеобразовательных организациях</t>
  </si>
  <si>
    <t>Укрепление материально-технической базы в организациях дополнительного образования детей</t>
  </si>
  <si>
    <t>2.18.</t>
  </si>
  <si>
    <t>2.19.</t>
  </si>
  <si>
    <t>Реализация народных проектов в сфере образования</t>
  </si>
  <si>
    <t>3.21.</t>
  </si>
  <si>
    <t>3.22.</t>
  </si>
  <si>
    <t>Ресурсное обеспечение и прогнозная (справочная) оценка расходов республиканского бюджета и расходов бюджета муниципального района «Княжпогостский» на реализацию целей муниципальной программы «Развитие образования в Княжпогостском районе»</t>
  </si>
  <si>
    <t>1.1.2.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</si>
  <si>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>3.23.</t>
  </si>
  <si>
    <t>Субсидии на реализацию народных проектов в сфере образования, прошедших отбор в рамках проекта "Народный бюджет"</t>
  </si>
  <si>
    <t>1.15.</t>
  </si>
  <si>
    <t>Исполнение судебных решений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</si>
  <si>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</si>
  <si>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2.20.</t>
  </si>
  <si>
    <t>Иная субсидия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</si>
  <si>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Субсидия на иные цели (Укрепление МТБ и создание безопасных условий в муниципальных образовательных организациях)</t>
  </si>
  <si>
    <t>2.21.</t>
  </si>
  <si>
    <t>Субсидии на открытие дополнительных классов</t>
  </si>
  <si>
    <t>"Приложение 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программе "Развитие образования в Княжпогостском районе"</t>
  </si>
  <si>
    <t>1.1.3. Мероприятия по организации деятельности по сбору и транспортированию твёрдых коммунальных отходов</t>
  </si>
  <si>
    <t>2.1.3. Мероприятия по организации деятельности по сбору и транспортированию твёрдых коммунальных отходов</t>
  </si>
  <si>
    <t>Мероприятия по организации деятельности по сбору и транспортированию твёрдых коммунальных отходов</t>
  </si>
  <si>
    <t xml:space="preserve">4.1.3. Обеспечение деятельности лагерей с дневным пребыванием детей </t>
  </si>
  <si>
    <t>федеральный бюджет</t>
  </si>
  <si>
    <t xml:space="preserve"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</t>
  </si>
  <si>
    <t>1.1.4. Обеспечение повышения оплаты труда отдельных категорий работников в сфере образования</t>
  </si>
  <si>
    <t>2.1.4.Обеспечение повышения оплаты труда отдельных категорий работников в сфере образования</t>
  </si>
  <si>
    <t>Обеспечение повышения оплаты труда отдельных категорий работников в сфере образования</t>
  </si>
  <si>
    <t>3.11.1 Субсидии на 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</si>
  <si>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Субсидии на реализацию народных проектов в сфере ОБРАЗОВАНИЯ, прошедших отбор в рамках проекта "Народный бюджет"</t>
  </si>
  <si>
    <t>4.1.1. Мероприятия по проведению оздоровительной кампании детей</t>
  </si>
  <si>
    <t>4.1.2. Мероприятия по проведению оздоровительной кампании детей</t>
  </si>
  <si>
    <t xml:space="preserve">Развитие инновационного опыта работы педагогов и образовательных учреждений </t>
  </si>
  <si>
    <t xml:space="preserve">Проведение районных мероприятий </t>
  </si>
  <si>
    <t>Выявление и поддержка одаренных детей и молодежи</t>
  </si>
  <si>
    <t>Выполнение противопожарных мероприятий в организациях дополнительного образования</t>
  </si>
  <si>
    <t>Приложение 3 к постановлению администрации муниципального района "Княжпогостский" от 07.11.2019 г. № 398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</si>
</sst>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5">
    <font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1" xfId="0" applyFont="1" applyBorder="1" applyAlignment="1">
      <alignment vertical="center" wrapText="1"/>
    </xf>
    <xf numFmtId="164" fontId="2" fillId="0" borderId="3" xfId="0" applyNumberFormat="1" applyFont="1" applyBorder="1" applyAlignment="1">
      <alignment horizontal="center" vertical="center"/>
    </xf>
    <xf numFmtId="0" fontId="2" fillId="0" borderId="0" xfId="0" applyFont="1"/>
    <xf numFmtId="2" fontId="2" fillId="0" borderId="0" xfId="0" applyNumberFormat="1" applyFont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/>
    <xf numFmtId="0" fontId="1" fillId="0" borderId="0" xfId="0" applyFont="1"/>
    <xf numFmtId="0" fontId="2" fillId="0" borderId="3" xfId="0" applyFont="1" applyBorder="1" applyAlignment="1">
      <alignment vertical="center" wrapText="1"/>
    </xf>
    <xf numFmtId="0" fontId="2" fillId="0" borderId="8" xfId="0" applyFont="1" applyBorder="1"/>
    <xf numFmtId="0" fontId="2" fillId="0" borderId="1" xfId="0" applyFont="1" applyFill="1" applyBorder="1" applyAlignment="1">
      <alignment vertical="center" wrapText="1"/>
    </xf>
    <xf numFmtId="165" fontId="3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/>
    </xf>
    <xf numFmtId="165" fontId="2" fillId="2" borderId="3" xfId="0" applyNumberFormat="1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1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8" xfId="0" applyFont="1" applyFill="1" applyBorder="1" applyAlignment="1">
      <alignment horizontal="right" vertical="top" wrapText="1"/>
    </xf>
    <xf numFmtId="0" fontId="2" fillId="0" borderId="8" xfId="0" applyFont="1" applyBorder="1" applyAlignment="1">
      <alignment horizontal="right" vertical="top" wrapText="1"/>
    </xf>
    <xf numFmtId="165" fontId="2" fillId="0" borderId="0" xfId="0" applyNumberFormat="1" applyFont="1"/>
    <xf numFmtId="0" fontId="2" fillId="0" borderId="3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Font="1" applyAlignment="1">
      <alignment horizontal="right"/>
    </xf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/>
    <xf numFmtId="0" fontId="2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17" fontId="2" fillId="0" borderId="1" xfId="0" applyNumberFormat="1" applyFont="1" applyBorder="1" applyAlignment="1">
      <alignment horizontal="left" vertical="center" wrapText="1"/>
    </xf>
    <xf numFmtId="17" fontId="2" fillId="0" borderId="4" xfId="0" applyNumberFormat="1" applyFont="1" applyBorder="1" applyAlignment="1">
      <alignment horizontal="left" vertical="center" wrapText="1"/>
    </xf>
    <xf numFmtId="17" fontId="2" fillId="0" borderId="2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4" fillId="0" borderId="0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64"/>
  <sheetViews>
    <sheetView tabSelected="1" zoomScaleNormal="100" workbookViewId="0">
      <selection activeCell="A214" sqref="A214:B216"/>
    </sheetView>
  </sheetViews>
  <sheetFormatPr defaultColWidth="8.85546875" defaultRowHeight="15"/>
  <cols>
    <col min="1" max="1" width="17" style="3" customWidth="1"/>
    <col min="2" max="2" width="32.7109375" style="3" customWidth="1"/>
    <col min="3" max="3" width="28.7109375" style="3" customWidth="1"/>
    <col min="4" max="4" width="13.28515625" style="3" customWidth="1"/>
    <col min="5" max="5" width="12.42578125" style="3" customWidth="1"/>
    <col min="6" max="7" width="12.42578125" style="21" customWidth="1"/>
    <col min="8" max="8" width="13.5703125" style="21" customWidth="1"/>
    <col min="9" max="9" width="12.7109375" style="21" customWidth="1"/>
    <col min="10" max="10" width="13" style="3" customWidth="1"/>
    <col min="11" max="16384" width="8.85546875" style="3"/>
  </cols>
  <sheetData>
    <row r="1" spans="1:10" ht="43.5" customHeight="1">
      <c r="D1" s="31"/>
      <c r="E1" s="31"/>
      <c r="F1" s="73" t="s">
        <v>148</v>
      </c>
      <c r="G1" s="73"/>
      <c r="H1" s="73"/>
      <c r="I1" s="73"/>
      <c r="J1" s="73"/>
    </row>
    <row r="2" spans="1:10" ht="33" customHeight="1">
      <c r="D2" s="30"/>
      <c r="E2" s="30"/>
      <c r="F2" s="74" t="s">
        <v>130</v>
      </c>
      <c r="G2" s="74"/>
      <c r="H2" s="74"/>
      <c r="I2" s="74"/>
      <c r="J2" s="74"/>
    </row>
    <row r="3" spans="1:10" ht="21.75" customHeight="1">
      <c r="E3" s="30"/>
      <c r="F3" s="74"/>
      <c r="G3" s="74"/>
      <c r="H3" s="74"/>
      <c r="I3" s="74"/>
      <c r="J3" s="74"/>
    </row>
    <row r="4" spans="1:10" ht="29.45" customHeight="1">
      <c r="A4" s="75" t="s">
        <v>118</v>
      </c>
      <c r="B4" s="75"/>
      <c r="C4" s="75"/>
      <c r="D4" s="75"/>
      <c r="E4" s="75"/>
      <c r="F4" s="75"/>
      <c r="G4" s="75"/>
      <c r="H4" s="75"/>
      <c r="I4" s="75"/>
      <c r="J4" s="75"/>
    </row>
    <row r="5" spans="1:10" ht="17.25" customHeight="1">
      <c r="A5" s="10"/>
      <c r="B5" s="10"/>
      <c r="C5" s="10"/>
      <c r="D5" s="10"/>
      <c r="E5" s="10"/>
      <c r="F5" s="23"/>
      <c r="G5" s="24"/>
      <c r="H5" s="24"/>
      <c r="I5" s="24"/>
      <c r="J5" s="25"/>
    </row>
    <row r="6" spans="1:10" s="4" customFormat="1" ht="13.9" customHeight="1">
      <c r="A6" s="60" t="s">
        <v>0</v>
      </c>
      <c r="B6" s="60" t="s">
        <v>1</v>
      </c>
      <c r="C6" s="60" t="s">
        <v>59</v>
      </c>
      <c r="D6" s="76"/>
      <c r="E6" s="76"/>
      <c r="F6" s="76"/>
      <c r="G6" s="76"/>
      <c r="H6" s="76"/>
      <c r="I6" s="76"/>
      <c r="J6" s="76"/>
    </row>
    <row r="7" spans="1:10" s="4" customFormat="1" ht="15" customHeight="1">
      <c r="A7" s="61"/>
      <c r="B7" s="61"/>
      <c r="C7" s="61"/>
      <c r="D7" s="5">
        <v>2014</v>
      </c>
      <c r="E7" s="5">
        <v>2015</v>
      </c>
      <c r="F7" s="16">
        <v>2016</v>
      </c>
      <c r="G7" s="16">
        <v>2017</v>
      </c>
      <c r="H7" s="16">
        <v>2018</v>
      </c>
      <c r="I7" s="16">
        <v>2019</v>
      </c>
      <c r="J7" s="5">
        <v>2020</v>
      </c>
    </row>
    <row r="8" spans="1:10" s="7" customFormat="1" ht="13.9" customHeight="1">
      <c r="A8" s="52" t="s">
        <v>2</v>
      </c>
      <c r="B8" s="52" t="s">
        <v>3</v>
      </c>
      <c r="C8" s="6" t="s">
        <v>60</v>
      </c>
      <c r="D8" s="12">
        <f t="shared" ref="D8:J10" si="0">D12+D71+D163+D232+D247+D256</f>
        <v>386844.54</v>
      </c>
      <c r="E8" s="12">
        <f t="shared" si="0"/>
        <v>390549.05300000001</v>
      </c>
      <c r="F8" s="17">
        <f t="shared" si="0"/>
        <v>367367.46399999998</v>
      </c>
      <c r="G8" s="17">
        <f t="shared" si="0"/>
        <v>391577.37400000001</v>
      </c>
      <c r="H8" s="17">
        <f t="shared" si="0"/>
        <v>421945.16700000002</v>
      </c>
      <c r="I8" s="17">
        <f t="shared" si="0"/>
        <v>427088.65100000001</v>
      </c>
      <c r="J8" s="12">
        <f t="shared" si="0"/>
        <v>406384.223</v>
      </c>
    </row>
    <row r="9" spans="1:10" s="7" customFormat="1">
      <c r="A9" s="53"/>
      <c r="B9" s="53"/>
      <c r="C9" s="27" t="s">
        <v>61</v>
      </c>
      <c r="D9" s="13">
        <f t="shared" si="0"/>
        <v>139442.29999999999</v>
      </c>
      <c r="E9" s="13">
        <f t="shared" si="0"/>
        <v>141030.228</v>
      </c>
      <c r="F9" s="18">
        <f t="shared" si="0"/>
        <v>139574.565</v>
      </c>
      <c r="G9" s="18">
        <f t="shared" si="0"/>
        <v>163982.038</v>
      </c>
      <c r="H9" s="18">
        <f t="shared" si="0"/>
        <v>144780.77800000002</v>
      </c>
      <c r="I9" s="18">
        <f t="shared" si="0"/>
        <v>144648.53599999999</v>
      </c>
      <c r="J9" s="13">
        <f t="shared" si="0"/>
        <v>143163.32299999997</v>
      </c>
    </row>
    <row r="10" spans="1:10" s="7" customFormat="1" ht="30">
      <c r="A10" s="53"/>
      <c r="B10" s="53"/>
      <c r="C10" s="27" t="s">
        <v>62</v>
      </c>
      <c r="D10" s="13">
        <f t="shared" si="0"/>
        <v>247059.03999999998</v>
      </c>
      <c r="E10" s="13">
        <f t="shared" si="0"/>
        <v>248301.125</v>
      </c>
      <c r="F10" s="18">
        <f t="shared" si="0"/>
        <v>227184.31399999995</v>
      </c>
      <c r="G10" s="18">
        <f t="shared" si="0"/>
        <v>227396.342</v>
      </c>
      <c r="H10" s="18">
        <f t="shared" si="0"/>
        <v>276854.19100000005</v>
      </c>
      <c r="I10" s="18">
        <f t="shared" si="0"/>
        <v>282243.55599999998</v>
      </c>
      <c r="J10" s="13">
        <f t="shared" si="0"/>
        <v>263220.89999999997</v>
      </c>
    </row>
    <row r="11" spans="1:10" s="7" customFormat="1">
      <c r="A11" s="54"/>
      <c r="B11" s="54"/>
      <c r="C11" s="27" t="s">
        <v>135</v>
      </c>
      <c r="D11" s="13">
        <f t="shared" ref="D11:J11" si="1">D15+D74+D166</f>
        <v>343.2</v>
      </c>
      <c r="E11" s="13">
        <f t="shared" si="1"/>
        <v>1217.7</v>
      </c>
      <c r="F11" s="13">
        <f t="shared" si="1"/>
        <v>608.58500000000004</v>
      </c>
      <c r="G11" s="13">
        <f t="shared" si="1"/>
        <v>198.994</v>
      </c>
      <c r="H11" s="13">
        <f t="shared" si="1"/>
        <v>310.19799999999998</v>
      </c>
      <c r="I11" s="13">
        <f t="shared" si="1"/>
        <v>196.559</v>
      </c>
      <c r="J11" s="13">
        <f t="shared" si="1"/>
        <v>0</v>
      </c>
    </row>
    <row r="12" spans="1:10" s="8" customFormat="1" ht="13.9" customHeight="1">
      <c r="A12" s="43" t="s">
        <v>4</v>
      </c>
      <c r="B12" s="43" t="s">
        <v>5</v>
      </c>
      <c r="C12" s="29" t="s">
        <v>60</v>
      </c>
      <c r="D12" s="15">
        <f>SUM(D13:D15)</f>
        <v>140952.07</v>
      </c>
      <c r="E12" s="15">
        <f t="shared" ref="E12:J12" si="2">SUM(E13:E15)</f>
        <v>119768.17000000001</v>
      </c>
      <c r="F12" s="15">
        <f t="shared" si="2"/>
        <v>126152.49799999999</v>
      </c>
      <c r="G12" s="15">
        <f t="shared" si="2"/>
        <v>134580.51299999998</v>
      </c>
      <c r="H12" s="15">
        <f t="shared" si="2"/>
        <v>151477.12099999998</v>
      </c>
      <c r="I12" s="15">
        <f t="shared" si="2"/>
        <v>147883.76500000001</v>
      </c>
      <c r="J12" s="15">
        <f t="shared" si="2"/>
        <v>144300.74800000002</v>
      </c>
    </row>
    <row r="13" spans="1:10" s="8" customFormat="1">
      <c r="A13" s="44"/>
      <c r="B13" s="44"/>
      <c r="C13" s="29" t="s">
        <v>61</v>
      </c>
      <c r="D13" s="15">
        <f>D17+D20+D29+D32+D36+D39+D42+D45+D48+D51+D54+D57+D60+D63+D66+D69</f>
        <v>45341.484999999993</v>
      </c>
      <c r="E13" s="15">
        <f t="shared" ref="E13:J13" si="3">E17+E20+E29+E32+E36+E39+E42+E45+E48+E51+E54+E57+E60+E63+E66+E69</f>
        <v>41213.297000000006</v>
      </c>
      <c r="F13" s="19">
        <f>F17+F20+F29+F32+F36+F39+F42+F45+F48+F51+F54+F57+F60+F63+F66+F69</f>
        <v>49559.27</v>
      </c>
      <c r="G13" s="19">
        <f t="shared" si="3"/>
        <v>57022.762999999992</v>
      </c>
      <c r="H13" s="19">
        <f t="shared" si="3"/>
        <v>53303.620999999999</v>
      </c>
      <c r="I13" s="19">
        <f>I17+I20+I29+I32+I36+I39+I42+I45+I48+I51+I54+I57+I60+I63+I66+I69+I26+I23</f>
        <v>58655.309000000001</v>
      </c>
      <c r="J13" s="15">
        <f t="shared" si="3"/>
        <v>58862.508000000002</v>
      </c>
    </row>
    <row r="14" spans="1:10" s="8" customFormat="1" ht="30">
      <c r="A14" s="44"/>
      <c r="B14" s="44"/>
      <c r="C14" s="29" t="s">
        <v>62</v>
      </c>
      <c r="D14" s="15">
        <f>D18+D21+D30+D33+D37+D40+D43+D46+D49+D52+D55+D58+D61+D64</f>
        <v>95507.384999999995</v>
      </c>
      <c r="E14" s="15">
        <f t="shared" ref="E14:J14" si="4">E18+E21+E30+E33+E37+E40+E43+E46+E49+E52+E55+E58+E61+E64</f>
        <v>78554.873000000007</v>
      </c>
      <c r="F14" s="19">
        <f t="shared" si="4"/>
        <v>76593.227999999988</v>
      </c>
      <c r="G14" s="19">
        <f t="shared" si="4"/>
        <v>77557.75</v>
      </c>
      <c r="H14" s="19">
        <f t="shared" si="4"/>
        <v>98173.5</v>
      </c>
      <c r="I14" s="19">
        <f>I18+I21+I30+I33+I37+I40+I43+I46+I49+I52+I55+I58+I61+I64+I24+I27</f>
        <v>89228.456000000006</v>
      </c>
      <c r="J14" s="15">
        <f t="shared" si="4"/>
        <v>85438.24</v>
      </c>
    </row>
    <row r="15" spans="1:10" s="33" customFormat="1">
      <c r="A15" s="45"/>
      <c r="B15" s="45"/>
      <c r="C15" s="32" t="s">
        <v>135</v>
      </c>
      <c r="D15" s="19">
        <f>D34</f>
        <v>103.2</v>
      </c>
      <c r="E15" s="19">
        <f t="shared" ref="E15:J15" si="5">E34</f>
        <v>0</v>
      </c>
      <c r="F15" s="19">
        <f t="shared" si="5"/>
        <v>0</v>
      </c>
      <c r="G15" s="19">
        <f t="shared" si="5"/>
        <v>0</v>
      </c>
      <c r="H15" s="19">
        <f t="shared" si="5"/>
        <v>0</v>
      </c>
      <c r="I15" s="19">
        <f t="shared" si="5"/>
        <v>0</v>
      </c>
      <c r="J15" s="19">
        <f t="shared" si="5"/>
        <v>0</v>
      </c>
    </row>
    <row r="16" spans="1:10">
      <c r="A16" s="37" t="s">
        <v>63</v>
      </c>
      <c r="B16" s="37" t="s">
        <v>6</v>
      </c>
      <c r="C16" s="1" t="s">
        <v>60</v>
      </c>
      <c r="D16" s="13">
        <f>SUM(D17:D18)</f>
        <v>40844.574000000001</v>
      </c>
      <c r="E16" s="13">
        <f t="shared" ref="E16:J16" si="6">SUM(E17:E18)</f>
        <v>34832.400000000001</v>
      </c>
      <c r="F16" s="18">
        <f t="shared" si="6"/>
        <v>40788.434999999998</v>
      </c>
      <c r="G16" s="18">
        <f t="shared" si="6"/>
        <v>47020.334999999992</v>
      </c>
      <c r="H16" s="18">
        <f>SUM(H17:H18)</f>
        <v>47551.684999999998</v>
      </c>
      <c r="I16" s="18">
        <f t="shared" si="6"/>
        <v>58248.024000000005</v>
      </c>
      <c r="J16" s="13">
        <f t="shared" si="6"/>
        <v>58862.508000000002</v>
      </c>
    </row>
    <row r="17" spans="1:10" ht="24" customHeight="1">
      <c r="A17" s="38"/>
      <c r="B17" s="38"/>
      <c r="C17" s="1" t="s">
        <v>61</v>
      </c>
      <c r="D17" s="13">
        <v>40844.574000000001</v>
      </c>
      <c r="E17" s="13">
        <v>34832.400000000001</v>
      </c>
      <c r="F17" s="18">
        <v>40788.434999999998</v>
      </c>
      <c r="G17" s="18">
        <f>37667.7+352.4-124.891+6802.97+500.001+1822.155</f>
        <v>47020.334999999992</v>
      </c>
      <c r="H17" s="18">
        <f>47551.685</f>
        <v>47551.684999999998</v>
      </c>
      <c r="I17" s="18">
        <f>58862.508-573.715-40.769</f>
        <v>58248.024000000005</v>
      </c>
      <c r="J17" s="13">
        <v>58862.508000000002</v>
      </c>
    </row>
    <row r="18" spans="1:10" ht="28.5" customHeight="1">
      <c r="A18" s="38"/>
      <c r="B18" s="39"/>
      <c r="C18" s="1" t="s">
        <v>62</v>
      </c>
      <c r="D18" s="13"/>
      <c r="E18" s="13"/>
      <c r="F18" s="18"/>
      <c r="G18" s="18"/>
      <c r="H18" s="18"/>
      <c r="I18" s="18"/>
      <c r="J18" s="13"/>
    </row>
    <row r="19" spans="1:10" ht="24" customHeight="1">
      <c r="A19" s="38"/>
      <c r="B19" s="37" t="s">
        <v>119</v>
      </c>
      <c r="C19" s="1" t="s">
        <v>60</v>
      </c>
      <c r="D19" s="13">
        <f>SUM(D20:D21)</f>
        <v>92730.4</v>
      </c>
      <c r="E19" s="13">
        <f t="shared" ref="E19:J19" si="7">SUM(E20:E21)</f>
        <v>72773.273000000001</v>
      </c>
      <c r="F19" s="18">
        <f>SUM(F20:F21)</f>
        <v>72275.827999999994</v>
      </c>
      <c r="G19" s="18">
        <f t="shared" si="7"/>
        <v>73013.75</v>
      </c>
      <c r="H19" s="18">
        <f t="shared" si="7"/>
        <v>95606.5</v>
      </c>
      <c r="I19" s="18">
        <f t="shared" si="7"/>
        <v>82561.740000000005</v>
      </c>
      <c r="J19" s="13">
        <f t="shared" si="7"/>
        <v>82632.740000000005</v>
      </c>
    </row>
    <row r="20" spans="1:10" ht="24" customHeight="1">
      <c r="A20" s="38"/>
      <c r="B20" s="38"/>
      <c r="C20" s="1" t="s">
        <v>61</v>
      </c>
      <c r="D20" s="13"/>
      <c r="E20" s="13"/>
      <c r="F20" s="18"/>
      <c r="G20" s="18"/>
      <c r="H20" s="18"/>
      <c r="I20" s="18"/>
      <c r="J20" s="13"/>
    </row>
    <row r="21" spans="1:10" ht="27.75" customHeight="1">
      <c r="A21" s="38"/>
      <c r="B21" s="39"/>
      <c r="C21" s="1" t="s">
        <v>62</v>
      </c>
      <c r="D21" s="13">
        <v>92730.4</v>
      </c>
      <c r="E21" s="13">
        <v>72773.273000000001</v>
      </c>
      <c r="F21" s="18">
        <v>72275.827999999994</v>
      </c>
      <c r="G21" s="18">
        <f>74522-8.25-1500</f>
        <v>73013.75</v>
      </c>
      <c r="H21" s="18">
        <f>87277.6+8328.9</f>
        <v>95606.5</v>
      </c>
      <c r="I21" s="18">
        <f>79777.74+2784</f>
        <v>82561.740000000005</v>
      </c>
      <c r="J21" s="13">
        <f>79777.74+2855</f>
        <v>82632.740000000005</v>
      </c>
    </row>
    <row r="22" spans="1:10" ht="20.45" customHeight="1">
      <c r="A22" s="38"/>
      <c r="B22" s="37" t="s">
        <v>131</v>
      </c>
      <c r="C22" s="1" t="s">
        <v>60</v>
      </c>
      <c r="D22" s="13">
        <f>SUM(D23:D24)</f>
        <v>0</v>
      </c>
      <c r="E22" s="13">
        <f t="shared" ref="E22" si="8">SUM(E23:E24)</f>
        <v>0</v>
      </c>
      <c r="F22" s="18">
        <f>SUM(F23:F24)</f>
        <v>0</v>
      </c>
      <c r="G22" s="18">
        <f t="shared" ref="G22:J22" si="9">SUM(G23:G24)</f>
        <v>0</v>
      </c>
      <c r="H22" s="18">
        <f t="shared" si="9"/>
        <v>0</v>
      </c>
      <c r="I22" s="18">
        <f t="shared" si="9"/>
        <v>134.63200000000001</v>
      </c>
      <c r="J22" s="13">
        <f t="shared" si="9"/>
        <v>0</v>
      </c>
    </row>
    <row r="23" spans="1:10" ht="20.45" customHeight="1">
      <c r="A23" s="38"/>
      <c r="B23" s="38"/>
      <c r="C23" s="1" t="s">
        <v>61</v>
      </c>
      <c r="D23" s="13"/>
      <c r="E23" s="13"/>
      <c r="F23" s="18"/>
      <c r="G23" s="18"/>
      <c r="H23" s="18"/>
      <c r="I23" s="18">
        <v>67.316000000000003</v>
      </c>
      <c r="J23" s="13"/>
    </row>
    <row r="24" spans="1:10" ht="20.45" customHeight="1">
      <c r="A24" s="38"/>
      <c r="B24" s="39"/>
      <c r="C24" s="1" t="s">
        <v>62</v>
      </c>
      <c r="D24" s="13"/>
      <c r="E24" s="13"/>
      <c r="F24" s="18"/>
      <c r="G24" s="18"/>
      <c r="H24" s="18"/>
      <c r="I24" s="18">
        <v>67.316000000000003</v>
      </c>
      <c r="J24" s="13"/>
    </row>
    <row r="25" spans="1:10" ht="20.45" customHeight="1">
      <c r="A25" s="38"/>
      <c r="B25" s="49" t="s">
        <v>137</v>
      </c>
      <c r="C25" s="22" t="s">
        <v>60</v>
      </c>
      <c r="D25" s="18">
        <f>SUM(D26:D27)</f>
        <v>0</v>
      </c>
      <c r="E25" s="18">
        <f t="shared" ref="E25:J25" si="10">SUM(E26:E27)</f>
        <v>0</v>
      </c>
      <c r="F25" s="18">
        <f>SUM(F26:F27)</f>
        <v>0</v>
      </c>
      <c r="G25" s="18">
        <f t="shared" si="10"/>
        <v>0</v>
      </c>
      <c r="H25" s="18">
        <f t="shared" si="10"/>
        <v>0</v>
      </c>
      <c r="I25" s="18">
        <f t="shared" si="10"/>
        <v>4076.9689999999996</v>
      </c>
      <c r="J25" s="18">
        <f t="shared" si="10"/>
        <v>0</v>
      </c>
    </row>
    <row r="26" spans="1:10" ht="20.45" customHeight="1">
      <c r="A26" s="38"/>
      <c r="B26" s="50"/>
      <c r="C26" s="22" t="s">
        <v>61</v>
      </c>
      <c r="D26" s="18"/>
      <c r="E26" s="18"/>
      <c r="F26" s="18"/>
      <c r="G26" s="18"/>
      <c r="H26" s="18"/>
      <c r="I26" s="18">
        <f>40.769</f>
        <v>40.768999999999998</v>
      </c>
      <c r="J26" s="18"/>
    </row>
    <row r="27" spans="1:10" ht="20.45" customHeight="1">
      <c r="A27" s="39"/>
      <c r="B27" s="51"/>
      <c r="C27" s="22" t="s">
        <v>62</v>
      </c>
      <c r="D27" s="18"/>
      <c r="E27" s="18"/>
      <c r="F27" s="18"/>
      <c r="G27" s="18"/>
      <c r="H27" s="18"/>
      <c r="I27" s="18">
        <f>4036.2</f>
        <v>4036.2</v>
      </c>
      <c r="J27" s="18"/>
    </row>
    <row r="28" spans="1:10" ht="13.9" customHeight="1">
      <c r="A28" s="37" t="s">
        <v>64</v>
      </c>
      <c r="B28" s="37" t="s">
        <v>7</v>
      </c>
      <c r="C28" s="1" t="s">
        <v>60</v>
      </c>
      <c r="D28" s="13">
        <f>SUM(D29:D30)</f>
        <v>0</v>
      </c>
      <c r="E28" s="13">
        <f t="shared" ref="E28:J28" si="11">SUM(E29:E30)</f>
        <v>0</v>
      </c>
      <c r="F28" s="18">
        <f t="shared" si="11"/>
        <v>0</v>
      </c>
      <c r="G28" s="18">
        <f t="shared" si="11"/>
        <v>0</v>
      </c>
      <c r="H28" s="18">
        <f t="shared" si="11"/>
        <v>0</v>
      </c>
      <c r="I28" s="18">
        <f t="shared" si="11"/>
        <v>0</v>
      </c>
      <c r="J28" s="13">
        <f t="shared" si="11"/>
        <v>0</v>
      </c>
    </row>
    <row r="29" spans="1:10" ht="13.9" customHeight="1">
      <c r="A29" s="38"/>
      <c r="B29" s="38"/>
      <c r="C29" s="1" t="s">
        <v>61</v>
      </c>
      <c r="D29" s="13"/>
      <c r="E29" s="13"/>
      <c r="F29" s="18"/>
      <c r="G29" s="18"/>
      <c r="H29" s="18"/>
      <c r="I29" s="18"/>
      <c r="J29" s="13"/>
    </row>
    <row r="30" spans="1:10" ht="18" customHeight="1">
      <c r="A30" s="38"/>
      <c r="B30" s="39"/>
      <c r="C30" s="1" t="s">
        <v>62</v>
      </c>
      <c r="D30" s="13"/>
      <c r="E30" s="13"/>
      <c r="F30" s="18"/>
      <c r="G30" s="18"/>
      <c r="H30" s="18"/>
      <c r="I30" s="18"/>
      <c r="J30" s="13"/>
    </row>
    <row r="31" spans="1:10" ht="33.75" customHeight="1">
      <c r="A31" s="38"/>
      <c r="B31" s="34" t="s">
        <v>8</v>
      </c>
      <c r="C31" s="1" t="s">
        <v>60</v>
      </c>
      <c r="D31" s="13">
        <f>SUM(D32:D34)</f>
        <v>103.2</v>
      </c>
      <c r="E31" s="13">
        <f t="shared" ref="E31:J31" si="12">SUM(E32:E34)</f>
        <v>0</v>
      </c>
      <c r="F31" s="13">
        <f t="shared" si="12"/>
        <v>0</v>
      </c>
      <c r="G31" s="13">
        <f t="shared" si="12"/>
        <v>0</v>
      </c>
      <c r="H31" s="13">
        <f t="shared" si="12"/>
        <v>0</v>
      </c>
      <c r="I31" s="13">
        <f t="shared" si="12"/>
        <v>0</v>
      </c>
      <c r="J31" s="13">
        <f t="shared" si="12"/>
        <v>0</v>
      </c>
    </row>
    <row r="32" spans="1:10" ht="48.75" customHeight="1">
      <c r="A32" s="38"/>
      <c r="B32" s="35"/>
      <c r="C32" s="1" t="s">
        <v>61</v>
      </c>
      <c r="D32" s="13"/>
      <c r="E32" s="13"/>
      <c r="F32" s="18"/>
      <c r="G32" s="18"/>
      <c r="H32" s="18"/>
      <c r="I32" s="18"/>
      <c r="J32" s="13"/>
    </row>
    <row r="33" spans="1:10" ht="25.5" customHeight="1">
      <c r="A33" s="38"/>
      <c r="B33" s="35"/>
      <c r="C33" s="1" t="s">
        <v>62</v>
      </c>
      <c r="D33" s="13">
        <v>0</v>
      </c>
      <c r="E33" s="13">
        <v>0</v>
      </c>
      <c r="F33" s="18">
        <v>0</v>
      </c>
      <c r="G33" s="18">
        <v>0</v>
      </c>
      <c r="H33" s="18">
        <v>0</v>
      </c>
      <c r="I33" s="18">
        <v>0</v>
      </c>
      <c r="J33" s="13">
        <v>0</v>
      </c>
    </row>
    <row r="34" spans="1:10" s="21" customFormat="1" ht="25.5" customHeight="1">
      <c r="A34" s="39"/>
      <c r="B34" s="36"/>
      <c r="C34" s="22" t="s">
        <v>135</v>
      </c>
      <c r="D34" s="18">
        <v>103.2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</row>
    <row r="35" spans="1:10" ht="42" customHeight="1">
      <c r="A35" s="37" t="s">
        <v>65</v>
      </c>
      <c r="B35" s="55" t="s">
        <v>9</v>
      </c>
      <c r="C35" s="1" t="s">
        <v>60</v>
      </c>
      <c r="D35" s="13">
        <f>SUM(D36:D37)</f>
        <v>2540.1239999999998</v>
      </c>
      <c r="E35" s="13">
        <f t="shared" ref="E35:J35" si="13">SUM(E36:E37)</f>
        <v>5781.6</v>
      </c>
      <c r="F35" s="18">
        <f t="shared" si="13"/>
        <v>4317.3999999999996</v>
      </c>
      <c r="G35" s="18">
        <f t="shared" si="13"/>
        <v>4544</v>
      </c>
      <c r="H35" s="18">
        <f t="shared" si="13"/>
        <v>2567</v>
      </c>
      <c r="I35" s="18">
        <f t="shared" si="13"/>
        <v>2563.1999999999998</v>
      </c>
      <c r="J35" s="13">
        <f t="shared" si="13"/>
        <v>2805.5</v>
      </c>
    </row>
    <row r="36" spans="1:10" ht="42" customHeight="1">
      <c r="A36" s="38"/>
      <c r="B36" s="55"/>
      <c r="C36" s="1" t="s">
        <v>61</v>
      </c>
      <c r="D36" s="13"/>
      <c r="E36" s="13"/>
      <c r="F36" s="18"/>
      <c r="G36" s="18"/>
      <c r="H36" s="18"/>
      <c r="I36" s="18"/>
      <c r="J36" s="13"/>
    </row>
    <row r="37" spans="1:10" ht="51" customHeight="1">
      <c r="A37" s="39"/>
      <c r="B37" s="55"/>
      <c r="C37" s="1" t="s">
        <v>62</v>
      </c>
      <c r="D37" s="13">
        <v>2540.1239999999998</v>
      </c>
      <c r="E37" s="13">
        <v>5781.6</v>
      </c>
      <c r="F37" s="18">
        <v>4317.3999999999996</v>
      </c>
      <c r="G37" s="18">
        <v>4544</v>
      </c>
      <c r="H37" s="18">
        <f>4168.5-1601.5</f>
        <v>2567</v>
      </c>
      <c r="I37" s="18">
        <v>2563.1999999999998</v>
      </c>
      <c r="J37" s="13">
        <v>2805.5</v>
      </c>
    </row>
    <row r="38" spans="1:10">
      <c r="A38" s="37" t="s">
        <v>66</v>
      </c>
      <c r="B38" s="37" t="s">
        <v>10</v>
      </c>
      <c r="C38" s="1" t="s">
        <v>60</v>
      </c>
      <c r="D38" s="13">
        <f>SUM(D39:D40)</f>
        <v>0</v>
      </c>
      <c r="E38" s="13">
        <f t="shared" ref="E38:J38" si="14">SUM(E39:E40)</f>
        <v>2996.82</v>
      </c>
      <c r="F38" s="18">
        <f t="shared" si="14"/>
        <v>5219.9989999999998</v>
      </c>
      <c r="G38" s="18">
        <f t="shared" si="14"/>
        <v>6000.5859999999993</v>
      </c>
      <c r="H38" s="18">
        <f t="shared" si="14"/>
        <v>3248.9520000000002</v>
      </c>
      <c r="I38" s="18">
        <f t="shared" si="14"/>
        <v>0</v>
      </c>
      <c r="J38" s="13">
        <f t="shared" si="14"/>
        <v>0</v>
      </c>
    </row>
    <row r="39" spans="1:10">
      <c r="A39" s="38"/>
      <c r="B39" s="38"/>
      <c r="C39" s="1" t="s">
        <v>61</v>
      </c>
      <c r="D39" s="13">
        <v>0</v>
      </c>
      <c r="E39" s="13">
        <v>2996.82</v>
      </c>
      <c r="F39" s="18">
        <v>5219.9989999999998</v>
      </c>
      <c r="G39" s="18">
        <f>2500-794.923+4884.641-249.26-339.872</f>
        <v>6000.5859999999993</v>
      </c>
      <c r="H39" s="18">
        <f>3249.496-0.544</f>
        <v>3248.9520000000002</v>
      </c>
      <c r="I39" s="18">
        <v>0</v>
      </c>
      <c r="J39" s="13">
        <v>0</v>
      </c>
    </row>
    <row r="40" spans="1:10" ht="19.5" customHeight="1">
      <c r="A40" s="39"/>
      <c r="B40" s="39"/>
      <c r="C40" s="1" t="s">
        <v>62</v>
      </c>
      <c r="D40" s="13"/>
      <c r="E40" s="13"/>
      <c r="F40" s="18"/>
      <c r="G40" s="18"/>
      <c r="H40" s="18"/>
      <c r="I40" s="18"/>
      <c r="J40" s="13"/>
    </row>
    <row r="41" spans="1:10">
      <c r="A41" s="37" t="s">
        <v>67</v>
      </c>
      <c r="B41" s="37" t="s">
        <v>11</v>
      </c>
      <c r="C41" s="1" t="s">
        <v>60</v>
      </c>
      <c r="D41" s="13">
        <f>SUM(D42:D43)</f>
        <v>725</v>
      </c>
      <c r="E41" s="13">
        <f t="shared" ref="E41:J41" si="15">SUM(E42:E43)</f>
        <v>730</v>
      </c>
      <c r="F41" s="18">
        <f t="shared" si="15"/>
        <v>818</v>
      </c>
      <c r="G41" s="18">
        <f t="shared" si="15"/>
        <v>704.44899999999996</v>
      </c>
      <c r="H41" s="18">
        <f t="shared" si="15"/>
        <v>700</v>
      </c>
      <c r="I41" s="18">
        <f t="shared" si="15"/>
        <v>125</v>
      </c>
      <c r="J41" s="13">
        <f t="shared" si="15"/>
        <v>0</v>
      </c>
    </row>
    <row r="42" spans="1:10">
      <c r="A42" s="38"/>
      <c r="B42" s="38"/>
      <c r="C42" s="1" t="s">
        <v>61</v>
      </c>
      <c r="D42" s="13">
        <v>725</v>
      </c>
      <c r="E42" s="13">
        <v>730</v>
      </c>
      <c r="F42" s="18">
        <f>818</f>
        <v>818</v>
      </c>
      <c r="G42" s="18">
        <v>704.44899999999996</v>
      </c>
      <c r="H42" s="18">
        <v>700</v>
      </c>
      <c r="I42" s="18">
        <v>125</v>
      </c>
      <c r="J42" s="13">
        <v>0</v>
      </c>
    </row>
    <row r="43" spans="1:10" ht="18" customHeight="1">
      <c r="A43" s="39"/>
      <c r="B43" s="39"/>
      <c r="C43" s="1" t="s">
        <v>62</v>
      </c>
      <c r="D43" s="13"/>
      <c r="E43" s="13"/>
      <c r="F43" s="18"/>
      <c r="G43" s="18"/>
      <c r="H43" s="18"/>
      <c r="I43" s="18"/>
      <c r="J43" s="13"/>
    </row>
    <row r="44" spans="1:10" ht="19.899999999999999" customHeight="1">
      <c r="A44" s="37" t="s">
        <v>68</v>
      </c>
      <c r="B44" s="37" t="s">
        <v>12</v>
      </c>
      <c r="C44" s="1" t="s">
        <v>60</v>
      </c>
      <c r="D44" s="13">
        <f>SUM(D45:D46)</f>
        <v>865.43499999999995</v>
      </c>
      <c r="E44" s="13">
        <f t="shared" ref="E44:J44" si="16">SUM(E45:E46)</f>
        <v>2124.6419999999998</v>
      </c>
      <c r="F44" s="18">
        <f t="shared" si="16"/>
        <v>700.42399999999998</v>
      </c>
      <c r="G44" s="18">
        <f t="shared" si="16"/>
        <v>293.91000000000003</v>
      </c>
      <c r="H44" s="18">
        <f t="shared" si="16"/>
        <v>1042.5</v>
      </c>
      <c r="I44" s="18">
        <f t="shared" si="16"/>
        <v>71</v>
      </c>
      <c r="J44" s="13">
        <f t="shared" si="16"/>
        <v>0</v>
      </c>
    </row>
    <row r="45" spans="1:10" ht="19.899999999999999" customHeight="1">
      <c r="A45" s="38"/>
      <c r="B45" s="38"/>
      <c r="C45" s="1" t="s">
        <v>61</v>
      </c>
      <c r="D45" s="13">
        <v>865.43499999999995</v>
      </c>
      <c r="E45" s="13">
        <v>2124.6419999999998</v>
      </c>
      <c r="F45" s="18">
        <f>700.424</f>
        <v>700.42399999999998</v>
      </c>
      <c r="G45" s="18">
        <f>600-178.4-83.538-48.152+4</f>
        <v>293.91000000000003</v>
      </c>
      <c r="H45" s="18">
        <f>1046.5-4</f>
        <v>1042.5</v>
      </c>
      <c r="I45" s="18">
        <f>29+42</f>
        <v>71</v>
      </c>
      <c r="J45" s="13">
        <v>0</v>
      </c>
    </row>
    <row r="46" spans="1:10" ht="19.899999999999999" customHeight="1">
      <c r="A46" s="38"/>
      <c r="B46" s="39"/>
      <c r="C46" s="1" t="s">
        <v>62</v>
      </c>
      <c r="D46" s="13"/>
      <c r="E46" s="13"/>
      <c r="F46" s="18"/>
      <c r="G46" s="18"/>
      <c r="H46" s="18"/>
      <c r="I46" s="18"/>
      <c r="J46" s="13"/>
    </row>
    <row r="47" spans="1:10" ht="19.899999999999999" customHeight="1">
      <c r="A47" s="38"/>
      <c r="B47" s="55" t="s">
        <v>13</v>
      </c>
      <c r="C47" s="1" t="s">
        <v>60</v>
      </c>
      <c r="D47" s="13">
        <f>SUM(D48:D49)</f>
        <v>236.86099999999999</v>
      </c>
      <c r="E47" s="13">
        <f t="shared" ref="E47:J47" si="17">SUM(E48:E49)</f>
        <v>0</v>
      </c>
      <c r="F47" s="18">
        <f t="shared" si="17"/>
        <v>0</v>
      </c>
      <c r="G47" s="18">
        <f t="shared" si="17"/>
        <v>0</v>
      </c>
      <c r="H47" s="18">
        <f t="shared" si="17"/>
        <v>0</v>
      </c>
      <c r="I47" s="18">
        <f t="shared" si="17"/>
        <v>0</v>
      </c>
      <c r="J47" s="13">
        <f t="shared" si="17"/>
        <v>0</v>
      </c>
    </row>
    <row r="48" spans="1:10" ht="19.899999999999999" customHeight="1">
      <c r="A48" s="38"/>
      <c r="B48" s="55"/>
      <c r="C48" s="1" t="s">
        <v>61</v>
      </c>
      <c r="D48" s="13"/>
      <c r="E48" s="13"/>
      <c r="F48" s="18"/>
      <c r="G48" s="18"/>
      <c r="H48" s="18"/>
      <c r="I48" s="18"/>
      <c r="J48" s="13"/>
    </row>
    <row r="49" spans="1:10" ht="19.899999999999999" customHeight="1">
      <c r="A49" s="39"/>
      <c r="B49" s="55"/>
      <c r="C49" s="1" t="s">
        <v>62</v>
      </c>
      <c r="D49" s="13">
        <v>236.86099999999999</v>
      </c>
      <c r="E49" s="13">
        <v>0</v>
      </c>
      <c r="F49" s="18">
        <v>0</v>
      </c>
      <c r="G49" s="18">
        <v>0</v>
      </c>
      <c r="H49" s="18">
        <v>0</v>
      </c>
      <c r="I49" s="18">
        <v>0</v>
      </c>
      <c r="J49" s="13">
        <v>0</v>
      </c>
    </row>
    <row r="50" spans="1:10" ht="24" customHeight="1">
      <c r="A50" s="37" t="s">
        <v>69</v>
      </c>
      <c r="B50" s="37" t="s">
        <v>14</v>
      </c>
      <c r="C50" s="1" t="s">
        <v>60</v>
      </c>
      <c r="D50" s="13">
        <f>SUM(D51:D52)</f>
        <v>15</v>
      </c>
      <c r="E50" s="13">
        <f t="shared" ref="E50:J50" si="18">SUM(E51:E52)</f>
        <v>15</v>
      </c>
      <c r="F50" s="18">
        <f t="shared" si="18"/>
        <v>15</v>
      </c>
      <c r="G50" s="18">
        <f t="shared" si="18"/>
        <v>5</v>
      </c>
      <c r="H50" s="18">
        <f t="shared" si="18"/>
        <v>5</v>
      </c>
      <c r="I50" s="18">
        <f t="shared" si="18"/>
        <v>0</v>
      </c>
      <c r="J50" s="13">
        <f t="shared" si="18"/>
        <v>0</v>
      </c>
    </row>
    <row r="51" spans="1:10" ht="24" customHeight="1">
      <c r="A51" s="38"/>
      <c r="B51" s="38"/>
      <c r="C51" s="1" t="s">
        <v>61</v>
      </c>
      <c r="D51" s="13">
        <v>15</v>
      </c>
      <c r="E51" s="13">
        <v>15</v>
      </c>
      <c r="F51" s="18">
        <v>15</v>
      </c>
      <c r="G51" s="18">
        <v>5</v>
      </c>
      <c r="H51" s="18">
        <f>5</f>
        <v>5</v>
      </c>
      <c r="I51" s="18">
        <v>0</v>
      </c>
      <c r="J51" s="13">
        <v>0</v>
      </c>
    </row>
    <row r="52" spans="1:10" ht="26.25" customHeight="1">
      <c r="A52" s="39"/>
      <c r="B52" s="39"/>
      <c r="C52" s="1" t="s">
        <v>62</v>
      </c>
      <c r="D52" s="13"/>
      <c r="E52" s="13"/>
      <c r="F52" s="18"/>
      <c r="G52" s="18"/>
      <c r="H52" s="18"/>
      <c r="I52" s="18"/>
      <c r="J52" s="13"/>
    </row>
    <row r="53" spans="1:10" ht="46.9" customHeight="1">
      <c r="A53" s="37" t="s">
        <v>70</v>
      </c>
      <c r="B53" s="37" t="s">
        <v>15</v>
      </c>
      <c r="C53" s="1" t="s">
        <v>60</v>
      </c>
      <c r="D53" s="13">
        <f>SUM(D54:D55)</f>
        <v>386</v>
      </c>
      <c r="E53" s="13">
        <f t="shared" ref="E53:J53" si="19">SUM(E54:E55)</f>
        <v>310</v>
      </c>
      <c r="F53" s="18">
        <f t="shared" si="19"/>
        <v>290</v>
      </c>
      <c r="G53" s="18">
        <f t="shared" si="19"/>
        <v>0</v>
      </c>
      <c r="H53" s="18">
        <f t="shared" si="19"/>
        <v>0</v>
      </c>
      <c r="I53" s="18">
        <f t="shared" si="19"/>
        <v>0</v>
      </c>
      <c r="J53" s="13">
        <f t="shared" si="19"/>
        <v>0</v>
      </c>
    </row>
    <row r="54" spans="1:10" ht="46.9" customHeight="1">
      <c r="A54" s="38"/>
      <c r="B54" s="38"/>
      <c r="C54" s="1" t="s">
        <v>61</v>
      </c>
      <c r="D54" s="13">
        <v>386</v>
      </c>
      <c r="E54" s="13">
        <v>310</v>
      </c>
      <c r="F54" s="18">
        <f>386-80-16</f>
        <v>290</v>
      </c>
      <c r="G54" s="18">
        <v>0</v>
      </c>
      <c r="H54" s="18">
        <v>0</v>
      </c>
      <c r="I54" s="18">
        <v>0</v>
      </c>
      <c r="J54" s="13">
        <v>0</v>
      </c>
    </row>
    <row r="55" spans="1:10" ht="46.9" customHeight="1">
      <c r="A55" s="39"/>
      <c r="B55" s="39"/>
      <c r="C55" s="1" t="s">
        <v>62</v>
      </c>
      <c r="D55" s="13"/>
      <c r="E55" s="13"/>
      <c r="F55" s="18"/>
      <c r="G55" s="18"/>
      <c r="H55" s="18"/>
      <c r="I55" s="18"/>
      <c r="J55" s="13"/>
    </row>
    <row r="56" spans="1:10">
      <c r="A56" s="37" t="s">
        <v>71</v>
      </c>
      <c r="B56" s="37" t="s">
        <v>10</v>
      </c>
      <c r="C56" s="1" t="s">
        <v>60</v>
      </c>
      <c r="D56" s="13">
        <f>SUM(D57:D58)</f>
        <v>1994.664</v>
      </c>
      <c r="E56" s="13">
        <f t="shared" ref="E56:J56" si="20">SUM(E57:E58)</f>
        <v>0</v>
      </c>
      <c r="F56" s="18">
        <f t="shared" si="20"/>
        <v>0</v>
      </c>
      <c r="G56" s="18">
        <f t="shared" si="20"/>
        <v>0</v>
      </c>
      <c r="H56" s="18">
        <f t="shared" si="20"/>
        <v>0</v>
      </c>
      <c r="I56" s="18">
        <f t="shared" si="20"/>
        <v>0</v>
      </c>
      <c r="J56" s="13">
        <f t="shared" si="20"/>
        <v>0</v>
      </c>
    </row>
    <row r="57" spans="1:10">
      <c r="A57" s="38"/>
      <c r="B57" s="38"/>
      <c r="C57" s="1" t="s">
        <v>61</v>
      </c>
      <c r="D57" s="13">
        <v>1994.664</v>
      </c>
      <c r="E57" s="13">
        <v>0</v>
      </c>
      <c r="F57" s="18">
        <v>0</v>
      </c>
      <c r="G57" s="18">
        <v>0</v>
      </c>
      <c r="H57" s="18">
        <v>0</v>
      </c>
      <c r="I57" s="18">
        <v>0</v>
      </c>
      <c r="J57" s="13">
        <v>0</v>
      </c>
    </row>
    <row r="58" spans="1:10" ht="15" customHeight="1">
      <c r="A58" s="39"/>
      <c r="B58" s="39"/>
      <c r="C58" s="1" t="s">
        <v>62</v>
      </c>
      <c r="D58" s="13"/>
      <c r="E58" s="13"/>
      <c r="F58" s="18"/>
      <c r="G58" s="18"/>
      <c r="H58" s="18"/>
      <c r="I58" s="18"/>
      <c r="J58" s="13"/>
    </row>
    <row r="59" spans="1:10">
      <c r="A59" s="37" t="s">
        <v>72</v>
      </c>
      <c r="B59" s="37" t="s">
        <v>16</v>
      </c>
      <c r="C59" s="1" t="s">
        <v>60</v>
      </c>
      <c r="D59" s="13">
        <f>SUM(D60:D61)</f>
        <v>510.81200000000001</v>
      </c>
      <c r="E59" s="13">
        <f t="shared" ref="E59:J59" si="21">SUM(E60:E61)</f>
        <v>117.4</v>
      </c>
      <c r="F59" s="18">
        <f t="shared" si="21"/>
        <v>1293.548</v>
      </c>
      <c r="G59" s="18">
        <f t="shared" si="21"/>
        <v>398.27199999999999</v>
      </c>
      <c r="H59" s="18">
        <f t="shared" si="21"/>
        <v>654.37400000000002</v>
      </c>
      <c r="I59" s="18">
        <f t="shared" si="21"/>
        <v>0</v>
      </c>
      <c r="J59" s="13">
        <f t="shared" si="21"/>
        <v>0</v>
      </c>
    </row>
    <row r="60" spans="1:10">
      <c r="A60" s="38"/>
      <c r="B60" s="38"/>
      <c r="C60" s="1" t="s">
        <v>61</v>
      </c>
      <c r="D60" s="13">
        <v>510.81200000000001</v>
      </c>
      <c r="E60" s="13">
        <v>117.4</v>
      </c>
      <c r="F60" s="18">
        <f>1293.548</f>
        <v>1293.548</v>
      </c>
      <c r="G60" s="18">
        <f>86.7+91.3+48.864+183.7-20+7.708</f>
        <v>398.27199999999999</v>
      </c>
      <c r="H60" s="18">
        <f>654.374</f>
        <v>654.37400000000002</v>
      </c>
      <c r="I60" s="18">
        <v>0</v>
      </c>
      <c r="J60" s="13">
        <v>0</v>
      </c>
    </row>
    <row r="61" spans="1:10" ht="18.75" customHeight="1">
      <c r="A61" s="39"/>
      <c r="B61" s="39"/>
      <c r="C61" s="1" t="s">
        <v>62</v>
      </c>
      <c r="D61" s="13"/>
      <c r="E61" s="13"/>
      <c r="F61" s="18"/>
      <c r="G61" s="18"/>
      <c r="H61" s="18"/>
      <c r="I61" s="18"/>
      <c r="J61" s="13"/>
    </row>
    <row r="62" spans="1:10">
      <c r="A62" s="37" t="s">
        <v>73</v>
      </c>
      <c r="B62" s="37" t="s">
        <v>17</v>
      </c>
      <c r="C62" s="1" t="s">
        <v>60</v>
      </c>
      <c r="D62" s="13">
        <f>SUM(D63:D64)</f>
        <v>0</v>
      </c>
      <c r="E62" s="13">
        <f t="shared" ref="E62:J62" si="22">SUM(E63:E64)</f>
        <v>87.034999999999997</v>
      </c>
      <c r="F62" s="18">
        <f t="shared" si="22"/>
        <v>103.864</v>
      </c>
      <c r="G62" s="18">
        <f t="shared" si="22"/>
        <v>100.211</v>
      </c>
      <c r="H62" s="18">
        <f t="shared" si="22"/>
        <v>101.11</v>
      </c>
      <c r="I62" s="18">
        <f t="shared" si="22"/>
        <v>103.2</v>
      </c>
      <c r="J62" s="13">
        <f t="shared" si="22"/>
        <v>0</v>
      </c>
    </row>
    <row r="63" spans="1:10">
      <c r="A63" s="38"/>
      <c r="B63" s="38"/>
      <c r="C63" s="1" t="s">
        <v>61</v>
      </c>
      <c r="D63" s="13">
        <v>0</v>
      </c>
      <c r="E63" s="13">
        <v>87.034999999999997</v>
      </c>
      <c r="F63" s="18">
        <f>103.864</f>
        <v>103.864</v>
      </c>
      <c r="G63" s="18">
        <v>100.211</v>
      </c>
      <c r="H63" s="18">
        <f>106.6-5.49</f>
        <v>101.11</v>
      </c>
      <c r="I63" s="18">
        <v>103.2</v>
      </c>
      <c r="J63" s="13">
        <v>0</v>
      </c>
    </row>
    <row r="64" spans="1:10" ht="16.5" customHeight="1">
      <c r="A64" s="39"/>
      <c r="B64" s="39"/>
      <c r="C64" s="1" t="s">
        <v>62</v>
      </c>
      <c r="D64" s="13"/>
      <c r="E64" s="13"/>
      <c r="F64" s="18"/>
      <c r="G64" s="18"/>
      <c r="H64" s="18"/>
      <c r="I64" s="18"/>
      <c r="J64" s="13"/>
    </row>
    <row r="65" spans="1:10">
      <c r="A65" s="37" t="s">
        <v>107</v>
      </c>
      <c r="B65" s="37" t="s">
        <v>109</v>
      </c>
      <c r="C65" s="1" t="s">
        <v>60</v>
      </c>
      <c r="D65" s="13">
        <f>SUM(D66:D67)</f>
        <v>0</v>
      </c>
      <c r="E65" s="13">
        <f t="shared" ref="E65:J65" si="23">SUM(E66:E67)</f>
        <v>0</v>
      </c>
      <c r="F65" s="18">
        <f t="shared" si="23"/>
        <v>330</v>
      </c>
      <c r="G65" s="18">
        <f t="shared" si="23"/>
        <v>0</v>
      </c>
      <c r="H65" s="18">
        <f t="shared" si="23"/>
        <v>0</v>
      </c>
      <c r="I65" s="18">
        <f t="shared" si="23"/>
        <v>0</v>
      </c>
      <c r="J65" s="13">
        <f t="shared" si="23"/>
        <v>0</v>
      </c>
    </row>
    <row r="66" spans="1:10">
      <c r="A66" s="38"/>
      <c r="B66" s="38"/>
      <c r="C66" s="1" t="s">
        <v>61</v>
      </c>
      <c r="D66" s="13">
        <v>0</v>
      </c>
      <c r="E66" s="13">
        <v>0</v>
      </c>
      <c r="F66" s="18">
        <v>330</v>
      </c>
      <c r="G66" s="18">
        <v>0</v>
      </c>
      <c r="H66" s="18">
        <v>0</v>
      </c>
      <c r="I66" s="18">
        <v>0</v>
      </c>
      <c r="J66" s="13">
        <v>0</v>
      </c>
    </row>
    <row r="67" spans="1:10" ht="30">
      <c r="A67" s="39"/>
      <c r="B67" s="39"/>
      <c r="C67" s="1" t="s">
        <v>62</v>
      </c>
      <c r="D67" s="13"/>
      <c r="E67" s="13"/>
      <c r="F67" s="18"/>
      <c r="G67" s="18"/>
      <c r="H67" s="18"/>
      <c r="I67" s="18"/>
      <c r="J67" s="13"/>
    </row>
    <row r="68" spans="1:10">
      <c r="A68" s="37" t="s">
        <v>122</v>
      </c>
      <c r="B68" s="37" t="s">
        <v>123</v>
      </c>
      <c r="C68" s="1" t="s">
        <v>60</v>
      </c>
      <c r="D68" s="13">
        <f>SUM(D69:D70)</f>
        <v>0</v>
      </c>
      <c r="E68" s="13">
        <f t="shared" ref="E68:J68" si="24">SUM(E69:E70)</f>
        <v>0</v>
      </c>
      <c r="F68" s="18">
        <f t="shared" si="24"/>
        <v>0</v>
      </c>
      <c r="G68" s="18">
        <f t="shared" si="24"/>
        <v>2500</v>
      </c>
      <c r="H68" s="18">
        <f t="shared" si="24"/>
        <v>0</v>
      </c>
      <c r="I68" s="18">
        <f t="shared" si="24"/>
        <v>0</v>
      </c>
      <c r="J68" s="13">
        <f t="shared" si="24"/>
        <v>0</v>
      </c>
    </row>
    <row r="69" spans="1:10">
      <c r="A69" s="38"/>
      <c r="B69" s="38"/>
      <c r="C69" s="1" t="s">
        <v>61</v>
      </c>
      <c r="D69" s="13">
        <v>0</v>
      </c>
      <c r="E69" s="13">
        <v>0</v>
      </c>
      <c r="F69" s="18">
        <v>0</v>
      </c>
      <c r="G69" s="18">
        <f>1000+1500</f>
        <v>2500</v>
      </c>
      <c r="H69" s="18">
        <v>0</v>
      </c>
      <c r="I69" s="18">
        <v>0</v>
      </c>
      <c r="J69" s="13">
        <v>0</v>
      </c>
    </row>
    <row r="70" spans="1:10" ht="17.25" customHeight="1">
      <c r="A70" s="39"/>
      <c r="B70" s="39"/>
      <c r="C70" s="1" t="s">
        <v>62</v>
      </c>
      <c r="D70" s="13"/>
      <c r="E70" s="13"/>
      <c r="F70" s="18"/>
      <c r="G70" s="18"/>
      <c r="H70" s="18"/>
      <c r="I70" s="18"/>
      <c r="J70" s="13"/>
    </row>
    <row r="71" spans="1:10" ht="13.9" customHeight="1">
      <c r="A71" s="43" t="s">
        <v>18</v>
      </c>
      <c r="B71" s="43" t="s">
        <v>19</v>
      </c>
      <c r="C71" s="29" t="s">
        <v>60</v>
      </c>
      <c r="D71" s="15">
        <f>SUM(D72:D74)</f>
        <v>204702.54200000002</v>
      </c>
      <c r="E71" s="15">
        <f t="shared" ref="E71:J71" si="25">SUM(E72:E74)</f>
        <v>227518.5</v>
      </c>
      <c r="F71" s="15">
        <f t="shared" si="25"/>
        <v>203219.23799999998</v>
      </c>
      <c r="G71" s="15">
        <f t="shared" si="25"/>
        <v>219332.45199999999</v>
      </c>
      <c r="H71" s="15">
        <f t="shared" si="25"/>
        <v>228707.89600000001</v>
      </c>
      <c r="I71" s="15">
        <f t="shared" si="25"/>
        <v>234982.71399999998</v>
      </c>
      <c r="J71" s="15">
        <f t="shared" si="25"/>
        <v>218130.81399999998</v>
      </c>
    </row>
    <row r="72" spans="1:10">
      <c r="A72" s="44"/>
      <c r="B72" s="44"/>
      <c r="C72" s="29" t="s">
        <v>61</v>
      </c>
      <c r="D72" s="15">
        <f>D76+D79+D88+D91+D94+D97+D106+D109+D112+D115+D118+D121+D124+D127+D130+D133+D136+D139+D143+D146+D149+D152+D155+D103+D158+D161</f>
        <v>55965.127000000008</v>
      </c>
      <c r="E72" s="15">
        <f>E76+E79+E88+E91+E94+E97+E106+E109+E112+E115+E118+E121+E124+E127+E130+E133+E136+E139+E143+E146+E149+E152+E155+E103+E158+E161</f>
        <v>58613.973000000005</v>
      </c>
      <c r="F72" s="15">
        <f>F76+F79+F88+F91+F94+F97+F106+F109+F112+F115+F118+F121+F124+F127+F130+F133+F136+F139+F143+F146+F149+F152+F155+F103+F158+F161</f>
        <v>54242.766000000003</v>
      </c>
      <c r="G72" s="15">
        <f>G76+G79+G88+G91+G94+G97+G106+G109+G112+G115+G118+G121+G124+G127+G130+G133+G136+G139+G143+G146+G149+G152+G155+G103+G158+G161</f>
        <v>71397.002000000008</v>
      </c>
      <c r="H72" s="15">
        <f>H76+H79+H88+H91+H94+H97+H106+H109+H112+H115+H118+H121+H124+H127+H130+H133+H136+H139+H143+H146+H149+H152+H155+H103+H158+H161</f>
        <v>51832.096000000005</v>
      </c>
      <c r="I72" s="19">
        <f>I76+I79+I88+I91+I94+I97+I106+I109+I112+I115+I118+I121+I124+I127+I130+I133+I136+I139+I143+I146+I149+I152+I155+I103+I158+I161+I82+I85</f>
        <v>47618.673999999992</v>
      </c>
      <c r="J72" s="15">
        <f>J76+J79+J88+J91+J94+J97+J106+J109+J112+J115+J118+J121+J124+J127+J130+J133+J136+J139+J143+J146+J149+J152+J155+J103+J158+J161</f>
        <v>41034.253999999994</v>
      </c>
    </row>
    <row r="73" spans="1:10" ht="16.899999999999999" customHeight="1">
      <c r="A73" s="44"/>
      <c r="B73" s="44"/>
      <c r="C73" s="29" t="s">
        <v>62</v>
      </c>
      <c r="D73" s="15">
        <f>D77+D80+D89+D92+D95+D98+D107+D110+D113+D116+D119+D122+D125+D128+D131+D134+D137+D140+D144+D147+D153+D156+D104</f>
        <v>148737.41500000001</v>
      </c>
      <c r="E73" s="15">
        <f>E77+E80+E89+E92+E95+E98+E107+E110+E113+E116+E119+E122+E125+E128+E131+E134+E137+E140+E144+E147+E153+E156+E104</f>
        <v>168148.527</v>
      </c>
      <c r="F73" s="19">
        <f>F77+F80+F89+F92+F95+F98+F107+F110+F113+F116+F119+F122+F125+F128+F131+F134+F137+F140+F144+F147+F153+F156+F104</f>
        <v>148976.47199999998</v>
      </c>
      <c r="G73" s="19">
        <f>G77+G80+G89+G92+G95+G98+G107+G110+G113+G116+G119+G122+G125+G128+G131+G134+G137+G140+G144+G147+G153+G156+G104</f>
        <v>147935.44999999998</v>
      </c>
      <c r="H73" s="19">
        <f>H77+H80+H89+H92+H95+H98+H107+H110+H113+H116+H119+H122+H125+H128+H131+H134+H137+H140+H144+H147+H153+H156+H104+H101</f>
        <v>176875.80000000002</v>
      </c>
      <c r="I73" s="19">
        <f>I77+I80+I89+I92+I95+I98+I107+I110+I113+I116+I119+I122+I125+I128+I131+I134+I137+I140+I144+I147+I153+I156+I104+I101+I83+I86</f>
        <v>187364.03999999998</v>
      </c>
      <c r="J73" s="19">
        <f>J77+J80+J89+J92+J95+J98+J107+J110+J113+J116+J119+J122+J125+J128+J131+J134+J137+J140+J144+J147+J153+J156+J104+J101</f>
        <v>177096.56</v>
      </c>
    </row>
    <row r="74" spans="1:10" s="21" customFormat="1">
      <c r="A74" s="45"/>
      <c r="B74" s="45"/>
      <c r="C74" s="32" t="s">
        <v>135</v>
      </c>
      <c r="D74" s="19">
        <f>D141</f>
        <v>0</v>
      </c>
      <c r="E74" s="19">
        <f t="shared" ref="E74:J74" si="26">E141</f>
        <v>756</v>
      </c>
      <c r="F74" s="19">
        <f t="shared" si="26"/>
        <v>0</v>
      </c>
      <c r="G74" s="19">
        <f t="shared" si="26"/>
        <v>0</v>
      </c>
      <c r="H74" s="19">
        <f t="shared" si="26"/>
        <v>0</v>
      </c>
      <c r="I74" s="19">
        <f t="shared" si="26"/>
        <v>0</v>
      </c>
      <c r="J74" s="19">
        <f t="shared" si="26"/>
        <v>0</v>
      </c>
    </row>
    <row r="75" spans="1:10" ht="19.149999999999999" customHeight="1">
      <c r="A75" s="46" t="s">
        <v>74</v>
      </c>
      <c r="B75" s="37" t="s">
        <v>20</v>
      </c>
      <c r="C75" s="1" t="s">
        <v>60</v>
      </c>
      <c r="D75" s="13">
        <f>SUM(D76:D77)</f>
        <v>42550.025999999998</v>
      </c>
      <c r="E75" s="13">
        <f t="shared" ref="E75:J75" si="27">SUM(E76:E77)</f>
        <v>38472.796999999999</v>
      </c>
      <c r="F75" s="18">
        <f t="shared" si="27"/>
        <v>47329.332999999999</v>
      </c>
      <c r="G75" s="18">
        <f t="shared" si="27"/>
        <v>59074.79</v>
      </c>
      <c r="H75" s="18">
        <f t="shared" si="27"/>
        <v>43904.408000000003</v>
      </c>
      <c r="I75" s="18">
        <f t="shared" si="27"/>
        <v>43344.184999999998</v>
      </c>
      <c r="J75" s="13">
        <f t="shared" si="27"/>
        <v>40952.053999999996</v>
      </c>
    </row>
    <row r="76" spans="1:10" ht="19.149999999999999" customHeight="1">
      <c r="A76" s="47"/>
      <c r="B76" s="38"/>
      <c r="C76" s="1" t="s">
        <v>61</v>
      </c>
      <c r="D76" s="13">
        <v>42550.025999999998</v>
      </c>
      <c r="E76" s="13">
        <v>38472.796999999999</v>
      </c>
      <c r="F76" s="18">
        <v>47329.332999999999</v>
      </c>
      <c r="G76" s="18">
        <f>41455.89+857.2+5115.523-74.6-30-108.119-2320.56+445.004+13734.452</f>
        <v>59074.79</v>
      </c>
      <c r="H76" s="18">
        <v>43904.408000000003</v>
      </c>
      <c r="I76" s="18">
        <f>40952.054+2860.162-495.823+161-133.208</f>
        <v>43344.184999999998</v>
      </c>
      <c r="J76" s="13">
        <v>40952.053999999996</v>
      </c>
    </row>
    <row r="77" spans="1:10" ht="26.25" customHeight="1">
      <c r="A77" s="47"/>
      <c r="B77" s="39"/>
      <c r="C77" s="1" t="s">
        <v>62</v>
      </c>
      <c r="D77" s="13"/>
      <c r="E77" s="13"/>
      <c r="F77" s="18"/>
      <c r="G77" s="18"/>
      <c r="H77" s="18"/>
      <c r="I77" s="18"/>
      <c r="J77" s="13"/>
    </row>
    <row r="78" spans="1:10" ht="25.15" customHeight="1">
      <c r="A78" s="47"/>
      <c r="B78" s="37" t="s">
        <v>21</v>
      </c>
      <c r="C78" s="1" t="s">
        <v>60</v>
      </c>
      <c r="D78" s="13">
        <f>SUM(D79:D80)</f>
        <v>141469.29999999999</v>
      </c>
      <c r="E78" s="13">
        <f t="shared" ref="E78:J78" si="28">SUM(E79:E80)</f>
        <v>149482.427</v>
      </c>
      <c r="F78" s="18">
        <f t="shared" si="28"/>
        <v>142133.57199999999</v>
      </c>
      <c r="G78" s="18">
        <f t="shared" si="28"/>
        <v>140994.94999999998</v>
      </c>
      <c r="H78" s="18">
        <f t="shared" si="28"/>
        <v>169996.1</v>
      </c>
      <c r="I78" s="18">
        <f t="shared" si="28"/>
        <v>165643.06</v>
      </c>
      <c r="J78" s="13">
        <f t="shared" si="28"/>
        <v>168580.26</v>
      </c>
    </row>
    <row r="79" spans="1:10" ht="25.15" customHeight="1">
      <c r="A79" s="47"/>
      <c r="B79" s="38"/>
      <c r="C79" s="1" t="s">
        <v>61</v>
      </c>
      <c r="D79" s="13"/>
      <c r="E79" s="13"/>
      <c r="F79" s="18"/>
      <c r="G79" s="18"/>
      <c r="H79" s="18"/>
      <c r="I79" s="18"/>
      <c r="J79" s="13"/>
    </row>
    <row r="80" spans="1:10" ht="25.15" customHeight="1">
      <c r="A80" s="47"/>
      <c r="B80" s="39"/>
      <c r="C80" s="1" t="s">
        <v>62</v>
      </c>
      <c r="D80" s="13">
        <v>141469.29999999999</v>
      </c>
      <c r="E80" s="13">
        <v>149482.427</v>
      </c>
      <c r="F80" s="18">
        <v>142133.57199999999</v>
      </c>
      <c r="G80" s="18">
        <f>139751.8-256.85+1500</f>
        <v>140994.94999999998</v>
      </c>
      <c r="H80" s="18">
        <f>170279.6-283.5</f>
        <v>169996.1</v>
      </c>
      <c r="I80" s="18">
        <v>165643.06</v>
      </c>
      <c r="J80" s="13">
        <v>168580.26</v>
      </c>
    </row>
    <row r="81" spans="1:10" ht="25.15" customHeight="1">
      <c r="A81" s="47"/>
      <c r="B81" s="37" t="s">
        <v>132</v>
      </c>
      <c r="C81" s="1" t="s">
        <v>60</v>
      </c>
      <c r="D81" s="13">
        <f>SUM(D82:D83)</f>
        <v>0</v>
      </c>
      <c r="E81" s="13">
        <f t="shared" ref="E81:J81" si="29">SUM(E82:E83)</f>
        <v>0</v>
      </c>
      <c r="F81" s="18">
        <f t="shared" si="29"/>
        <v>0</v>
      </c>
      <c r="G81" s="18">
        <f t="shared" si="29"/>
        <v>0</v>
      </c>
      <c r="H81" s="18">
        <f t="shared" si="29"/>
        <v>0</v>
      </c>
      <c r="I81" s="18">
        <f t="shared" si="29"/>
        <v>80.161000000000001</v>
      </c>
      <c r="J81" s="13">
        <f t="shared" si="29"/>
        <v>0</v>
      </c>
    </row>
    <row r="82" spans="1:10" ht="25.15" customHeight="1">
      <c r="A82" s="47"/>
      <c r="B82" s="38"/>
      <c r="C82" s="1" t="s">
        <v>61</v>
      </c>
      <c r="D82" s="13"/>
      <c r="E82" s="13"/>
      <c r="F82" s="18"/>
      <c r="G82" s="18"/>
      <c r="H82" s="18"/>
      <c r="I82" s="18">
        <v>40.081000000000003</v>
      </c>
      <c r="J82" s="13"/>
    </row>
    <row r="83" spans="1:10" ht="25.15" customHeight="1">
      <c r="A83" s="47"/>
      <c r="B83" s="39"/>
      <c r="C83" s="1" t="s">
        <v>62</v>
      </c>
      <c r="D83" s="13"/>
      <c r="E83" s="13"/>
      <c r="F83" s="18"/>
      <c r="G83" s="18"/>
      <c r="H83" s="18"/>
      <c r="I83" s="18">
        <v>40.08</v>
      </c>
      <c r="J83" s="13"/>
    </row>
    <row r="84" spans="1:10" ht="25.15" customHeight="1">
      <c r="A84" s="47"/>
      <c r="B84" s="49" t="s">
        <v>138</v>
      </c>
      <c r="C84" s="22" t="s">
        <v>60</v>
      </c>
      <c r="D84" s="18">
        <f>SUM(D85:D86)</f>
        <v>0</v>
      </c>
      <c r="E84" s="18">
        <f t="shared" ref="E84:J84" si="30">SUM(E85:E86)</f>
        <v>0</v>
      </c>
      <c r="F84" s="18">
        <f t="shared" si="30"/>
        <v>0</v>
      </c>
      <c r="G84" s="18">
        <f t="shared" si="30"/>
        <v>0</v>
      </c>
      <c r="H84" s="18">
        <f t="shared" si="30"/>
        <v>0</v>
      </c>
      <c r="I84" s="18">
        <f t="shared" si="30"/>
        <v>13320.808000000001</v>
      </c>
      <c r="J84" s="18">
        <f t="shared" si="30"/>
        <v>0</v>
      </c>
    </row>
    <row r="85" spans="1:10" ht="25.15" customHeight="1">
      <c r="A85" s="47"/>
      <c r="B85" s="50"/>
      <c r="C85" s="22" t="s">
        <v>61</v>
      </c>
      <c r="D85" s="18"/>
      <c r="E85" s="18"/>
      <c r="F85" s="18"/>
      <c r="G85" s="18"/>
      <c r="H85" s="18"/>
      <c r="I85" s="18">
        <v>133.208</v>
      </c>
      <c r="J85" s="18"/>
    </row>
    <row r="86" spans="1:10" ht="25.15" customHeight="1">
      <c r="A86" s="48"/>
      <c r="B86" s="51"/>
      <c r="C86" s="22" t="s">
        <v>62</v>
      </c>
      <c r="D86" s="18"/>
      <c r="E86" s="18"/>
      <c r="F86" s="18"/>
      <c r="G86" s="18"/>
      <c r="H86" s="18"/>
      <c r="I86" s="18">
        <v>13187.6</v>
      </c>
      <c r="J86" s="18"/>
    </row>
    <row r="87" spans="1:10" ht="46.9" customHeight="1">
      <c r="A87" s="37" t="s">
        <v>75</v>
      </c>
      <c r="B87" s="37" t="s">
        <v>136</v>
      </c>
      <c r="C87" s="1" t="s">
        <v>60</v>
      </c>
      <c r="D87" s="13">
        <f>SUM(D88:D89)</f>
        <v>375.77600000000001</v>
      </c>
      <c r="E87" s="13">
        <f t="shared" ref="E87:J87" si="31">SUM(E88:E89)</f>
        <v>569</v>
      </c>
      <c r="F87" s="18">
        <f t="shared" si="31"/>
        <v>562.1</v>
      </c>
      <c r="G87" s="18">
        <f t="shared" si="31"/>
        <v>558.5</v>
      </c>
      <c r="H87" s="18">
        <f t="shared" si="31"/>
        <v>360</v>
      </c>
      <c r="I87" s="18">
        <f t="shared" si="31"/>
        <v>357</v>
      </c>
      <c r="J87" s="13">
        <f t="shared" si="31"/>
        <v>380</v>
      </c>
    </row>
    <row r="88" spans="1:10" ht="46.9" customHeight="1">
      <c r="A88" s="38"/>
      <c r="B88" s="38"/>
      <c r="C88" s="1" t="s">
        <v>61</v>
      </c>
      <c r="D88" s="13"/>
      <c r="E88" s="13"/>
      <c r="F88" s="18"/>
      <c r="G88" s="18"/>
      <c r="H88" s="18"/>
      <c r="I88" s="18"/>
      <c r="J88" s="13"/>
    </row>
    <row r="89" spans="1:10" ht="37.15" customHeight="1">
      <c r="A89" s="39"/>
      <c r="B89" s="39"/>
      <c r="C89" s="1" t="s">
        <v>62</v>
      </c>
      <c r="D89" s="13">
        <v>375.77600000000001</v>
      </c>
      <c r="E89" s="13">
        <v>569</v>
      </c>
      <c r="F89" s="18">
        <v>562.1</v>
      </c>
      <c r="G89" s="18">
        <v>558.5</v>
      </c>
      <c r="H89" s="18">
        <f>360</f>
        <v>360</v>
      </c>
      <c r="I89" s="18">
        <v>357</v>
      </c>
      <c r="J89" s="13">
        <v>380</v>
      </c>
    </row>
    <row r="90" spans="1:10">
      <c r="A90" s="37" t="s">
        <v>76</v>
      </c>
      <c r="B90" s="37" t="s">
        <v>17</v>
      </c>
      <c r="C90" s="1" t="s">
        <v>60</v>
      </c>
      <c r="D90" s="13">
        <f>SUM(D91:D92)</f>
        <v>1232.6320000000001</v>
      </c>
      <c r="E90" s="13">
        <f t="shared" ref="E90:J90" si="32">SUM(E91:E92)</f>
        <v>1180.22</v>
      </c>
      <c r="F90" s="18">
        <f t="shared" si="32"/>
        <v>1130.527</v>
      </c>
      <c r="G90" s="18">
        <f t="shared" si="32"/>
        <v>973.16700000000003</v>
      </c>
      <c r="H90" s="18">
        <f t="shared" si="32"/>
        <v>808.95800000000008</v>
      </c>
      <c r="I90" s="18">
        <f t="shared" si="32"/>
        <v>661</v>
      </c>
      <c r="J90" s="13">
        <f t="shared" si="32"/>
        <v>0</v>
      </c>
    </row>
    <row r="91" spans="1:10">
      <c r="A91" s="38"/>
      <c r="B91" s="38"/>
      <c r="C91" s="1" t="s">
        <v>61</v>
      </c>
      <c r="D91" s="13">
        <v>1232.6320000000001</v>
      </c>
      <c r="E91" s="13">
        <v>1180.22</v>
      </c>
      <c r="F91" s="18">
        <v>1130.527</v>
      </c>
      <c r="G91" s="18">
        <v>973.16700000000003</v>
      </c>
      <c r="H91" s="18">
        <f>831.82-22.862</f>
        <v>808.95800000000008</v>
      </c>
      <c r="I91" s="18">
        <v>661</v>
      </c>
      <c r="J91" s="13">
        <v>0</v>
      </c>
    </row>
    <row r="92" spans="1:10" ht="16.5" customHeight="1">
      <c r="A92" s="39"/>
      <c r="B92" s="39"/>
      <c r="C92" s="1" t="s">
        <v>62</v>
      </c>
      <c r="D92" s="13"/>
      <c r="E92" s="13"/>
      <c r="F92" s="18"/>
      <c r="G92" s="18"/>
      <c r="H92" s="18"/>
      <c r="I92" s="18"/>
      <c r="J92" s="13"/>
    </row>
    <row r="93" spans="1:10">
      <c r="A93" s="37" t="s">
        <v>77</v>
      </c>
      <c r="B93" s="37" t="s">
        <v>22</v>
      </c>
      <c r="C93" s="1" t="s">
        <v>60</v>
      </c>
      <c r="D93" s="13">
        <f>SUM(D94:D95)</f>
        <v>964.34900000000005</v>
      </c>
      <c r="E93" s="13">
        <f t="shared" ref="E93:J93" si="33">SUM(E94:E95)</f>
        <v>3377.9319999999998</v>
      </c>
      <c r="F93" s="18">
        <f t="shared" si="33"/>
        <v>1620.682</v>
      </c>
      <c r="G93" s="18">
        <f t="shared" si="33"/>
        <v>1436.838</v>
      </c>
      <c r="H93" s="18">
        <f t="shared" si="33"/>
        <v>2366.2179999999998</v>
      </c>
      <c r="I93" s="18">
        <f t="shared" si="33"/>
        <v>33</v>
      </c>
      <c r="J93" s="13">
        <f t="shared" si="33"/>
        <v>0</v>
      </c>
    </row>
    <row r="94" spans="1:10">
      <c r="A94" s="38"/>
      <c r="B94" s="38"/>
      <c r="C94" s="1" t="s">
        <v>61</v>
      </c>
      <c r="D94" s="13">
        <v>964.34900000000005</v>
      </c>
      <c r="E94" s="13">
        <v>3377.9319999999998</v>
      </c>
      <c r="F94" s="18">
        <v>1620.682</v>
      </c>
      <c r="G94" s="18">
        <f>607.609+668.887-0.4+59.97+100.772</f>
        <v>1436.838</v>
      </c>
      <c r="H94" s="18">
        <f>2376.18-9.962</f>
        <v>2366.2179999999998</v>
      </c>
      <c r="I94" s="18">
        <v>33</v>
      </c>
      <c r="J94" s="13">
        <v>0</v>
      </c>
    </row>
    <row r="95" spans="1:10" ht="15" customHeight="1">
      <c r="A95" s="38"/>
      <c r="B95" s="39"/>
      <c r="C95" s="1" t="s">
        <v>62</v>
      </c>
      <c r="D95" s="13"/>
      <c r="E95" s="13"/>
      <c r="F95" s="18"/>
      <c r="G95" s="18"/>
      <c r="H95" s="18"/>
      <c r="I95" s="18"/>
      <c r="J95" s="13"/>
    </row>
    <row r="96" spans="1:10" ht="19.149999999999999" customHeight="1">
      <c r="A96" s="38"/>
      <c r="B96" s="37" t="s">
        <v>23</v>
      </c>
      <c r="C96" s="1" t="s">
        <v>60</v>
      </c>
      <c r="D96" s="13">
        <f>SUM(D97:D98)</f>
        <v>0</v>
      </c>
      <c r="E96" s="13">
        <f t="shared" ref="E96:J96" si="34">SUM(E97:E98)</f>
        <v>11078</v>
      </c>
      <c r="F96" s="18">
        <f t="shared" si="34"/>
        <v>0</v>
      </c>
      <c r="G96" s="18">
        <f t="shared" si="34"/>
        <v>0</v>
      </c>
      <c r="H96" s="18">
        <f t="shared" si="34"/>
        <v>0</v>
      </c>
      <c r="I96" s="18">
        <f t="shared" si="34"/>
        <v>0</v>
      </c>
      <c r="J96" s="13">
        <f t="shared" si="34"/>
        <v>0</v>
      </c>
    </row>
    <row r="97" spans="1:10" ht="19.149999999999999" customHeight="1">
      <c r="A97" s="38"/>
      <c r="B97" s="38"/>
      <c r="C97" s="1" t="s">
        <v>61</v>
      </c>
      <c r="D97" s="13"/>
      <c r="E97" s="13"/>
      <c r="F97" s="18"/>
      <c r="G97" s="18"/>
      <c r="H97" s="18"/>
      <c r="I97" s="18"/>
      <c r="J97" s="13"/>
    </row>
    <row r="98" spans="1:10" ht="27" customHeight="1">
      <c r="A98" s="38"/>
      <c r="B98" s="39"/>
      <c r="C98" s="1" t="s">
        <v>62</v>
      </c>
      <c r="D98" s="13">
        <v>0</v>
      </c>
      <c r="E98" s="13">
        <v>11078</v>
      </c>
      <c r="F98" s="18">
        <v>0</v>
      </c>
      <c r="G98" s="18">
        <v>0</v>
      </c>
      <c r="H98" s="18">
        <v>0</v>
      </c>
      <c r="I98" s="18">
        <v>0</v>
      </c>
      <c r="J98" s="13">
        <v>0</v>
      </c>
    </row>
    <row r="99" spans="1:10" s="21" customFormat="1" ht="19.149999999999999" customHeight="1">
      <c r="A99" s="38"/>
      <c r="B99" s="49" t="s">
        <v>127</v>
      </c>
      <c r="C99" s="22" t="s">
        <v>60</v>
      </c>
      <c r="D99" s="18">
        <f>SUM(D100:D101)</f>
        <v>0</v>
      </c>
      <c r="E99" s="18">
        <f t="shared" ref="E99:J99" si="35">SUM(E100:E101)</f>
        <v>0</v>
      </c>
      <c r="F99" s="18">
        <f t="shared" si="35"/>
        <v>0</v>
      </c>
      <c r="G99" s="18">
        <f t="shared" si="35"/>
        <v>0</v>
      </c>
      <c r="H99" s="18">
        <f t="shared" si="35"/>
        <v>0</v>
      </c>
      <c r="I99" s="18">
        <f t="shared" si="35"/>
        <v>0</v>
      </c>
      <c r="J99" s="18">
        <f t="shared" si="35"/>
        <v>0</v>
      </c>
    </row>
    <row r="100" spans="1:10" s="21" customFormat="1" ht="24" customHeight="1">
      <c r="A100" s="38"/>
      <c r="B100" s="50"/>
      <c r="C100" s="22" t="s">
        <v>61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</row>
    <row r="101" spans="1:10" s="21" customFormat="1" ht="34.5" customHeight="1">
      <c r="A101" s="38"/>
      <c r="B101" s="51"/>
      <c r="C101" s="22" t="s">
        <v>62</v>
      </c>
      <c r="D101" s="18">
        <v>0</v>
      </c>
      <c r="E101" s="18">
        <v>0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</row>
    <row r="102" spans="1:10" ht="23.65" customHeight="1">
      <c r="A102" s="38"/>
      <c r="B102" s="40" t="s">
        <v>124</v>
      </c>
      <c r="C102" s="11" t="s">
        <v>60</v>
      </c>
      <c r="D102" s="14">
        <f>SUM(D103:D104)</f>
        <v>0</v>
      </c>
      <c r="E102" s="14">
        <f t="shared" ref="E102:J102" si="36">SUM(E103:E104)</f>
        <v>0</v>
      </c>
      <c r="F102" s="18">
        <f t="shared" si="36"/>
        <v>0</v>
      </c>
      <c r="G102" s="18">
        <f t="shared" si="36"/>
        <v>259.89999999999998</v>
      </c>
      <c r="H102" s="14">
        <f t="shared" si="36"/>
        <v>495.11199999999997</v>
      </c>
      <c r="I102" s="18">
        <f t="shared" si="36"/>
        <v>0</v>
      </c>
      <c r="J102" s="14">
        <f t="shared" si="36"/>
        <v>0</v>
      </c>
    </row>
    <row r="103" spans="1:10" ht="23.65" customHeight="1">
      <c r="A103" s="38"/>
      <c r="B103" s="41"/>
      <c r="C103" s="11" t="s">
        <v>61</v>
      </c>
      <c r="D103" s="14">
        <v>0</v>
      </c>
      <c r="E103" s="14">
        <v>0</v>
      </c>
      <c r="F103" s="18">
        <v>0</v>
      </c>
      <c r="G103" s="18">
        <v>26</v>
      </c>
      <c r="H103" s="14">
        <v>274.512</v>
      </c>
      <c r="I103" s="18">
        <v>0</v>
      </c>
      <c r="J103" s="14">
        <v>0</v>
      </c>
    </row>
    <row r="104" spans="1:10" ht="27.75" customHeight="1">
      <c r="A104" s="38"/>
      <c r="B104" s="42"/>
      <c r="C104" s="11" t="s">
        <v>62</v>
      </c>
      <c r="D104" s="14">
        <v>0</v>
      </c>
      <c r="E104" s="14">
        <v>0</v>
      </c>
      <c r="F104" s="18">
        <v>0</v>
      </c>
      <c r="G104" s="18">
        <v>233.9</v>
      </c>
      <c r="H104" s="14">
        <v>220.6</v>
      </c>
      <c r="I104" s="18">
        <v>0</v>
      </c>
      <c r="J104" s="14">
        <v>0</v>
      </c>
    </row>
    <row r="105" spans="1:10">
      <c r="A105" s="37" t="s">
        <v>78</v>
      </c>
      <c r="B105" s="37" t="s">
        <v>24</v>
      </c>
      <c r="C105" s="1" t="s">
        <v>60</v>
      </c>
      <c r="D105" s="13">
        <f>SUM(D106:D107)</f>
        <v>6540.8950000000004</v>
      </c>
      <c r="E105" s="13">
        <f t="shared" ref="E105:J105" si="37">SUM(E106:E107)</f>
        <v>11784.134</v>
      </c>
      <c r="F105" s="18">
        <f t="shared" si="37"/>
        <v>1516.7429999999999</v>
      </c>
      <c r="G105" s="18">
        <f t="shared" si="37"/>
        <v>-1.5462631175466868E-13</v>
      </c>
      <c r="H105" s="18">
        <f t="shared" si="37"/>
        <v>495.78500000000003</v>
      </c>
      <c r="I105" s="18">
        <f t="shared" si="37"/>
        <v>0</v>
      </c>
      <c r="J105" s="13">
        <f t="shared" si="37"/>
        <v>0</v>
      </c>
    </row>
    <row r="106" spans="1:10">
      <c r="A106" s="38"/>
      <c r="B106" s="38"/>
      <c r="C106" s="1" t="s">
        <v>61</v>
      </c>
      <c r="D106" s="13">
        <v>6540.8950000000004</v>
      </c>
      <c r="E106" s="13">
        <v>11784.134</v>
      </c>
      <c r="F106" s="18">
        <v>1516.7429999999999</v>
      </c>
      <c r="G106" s="18">
        <f>2341.1-1948.93-392-0.17</f>
        <v>-1.5462631175466868E-13</v>
      </c>
      <c r="H106" s="18">
        <f>499-3.215</f>
        <v>495.78500000000003</v>
      </c>
      <c r="I106" s="18">
        <v>0</v>
      </c>
      <c r="J106" s="13">
        <v>0</v>
      </c>
    </row>
    <row r="107" spans="1:10" ht="15" customHeight="1">
      <c r="A107" s="39"/>
      <c r="B107" s="39"/>
      <c r="C107" s="1" t="s">
        <v>62</v>
      </c>
      <c r="D107" s="13"/>
      <c r="E107" s="13"/>
      <c r="F107" s="18"/>
      <c r="G107" s="18"/>
      <c r="H107" s="18"/>
      <c r="I107" s="18"/>
      <c r="J107" s="13"/>
    </row>
    <row r="108" spans="1:10">
      <c r="A108" s="37" t="s">
        <v>79</v>
      </c>
      <c r="B108" s="37" t="s">
        <v>110</v>
      </c>
      <c r="C108" s="1" t="s">
        <v>60</v>
      </c>
      <c r="D108" s="13">
        <f>SUM(D109:D110)</f>
        <v>2868.4250000000002</v>
      </c>
      <c r="E108" s="13">
        <f t="shared" ref="E108:J108" si="38">SUM(E109:E110)</f>
        <v>1546.83</v>
      </c>
      <c r="F108" s="18">
        <f t="shared" si="38"/>
        <v>760.68100000000004</v>
      </c>
      <c r="G108" s="18">
        <f t="shared" si="38"/>
        <v>1619.2270000000001</v>
      </c>
      <c r="H108" s="18">
        <f t="shared" si="38"/>
        <v>1807.807</v>
      </c>
      <c r="I108" s="18">
        <f t="shared" si="38"/>
        <v>425</v>
      </c>
      <c r="J108" s="13">
        <f t="shared" si="38"/>
        <v>0</v>
      </c>
    </row>
    <row r="109" spans="1:10">
      <c r="A109" s="38"/>
      <c r="B109" s="38"/>
      <c r="C109" s="1" t="s">
        <v>61</v>
      </c>
      <c r="D109" s="13">
        <v>2868.4250000000002</v>
      </c>
      <c r="E109" s="13">
        <v>1546.83</v>
      </c>
      <c r="F109" s="18">
        <v>760.68100000000004</v>
      </c>
      <c r="G109" s="18">
        <v>1619.2270000000001</v>
      </c>
      <c r="H109" s="18">
        <f>1767.95+39.857</f>
        <v>1807.807</v>
      </c>
      <c r="I109" s="18">
        <f>25+400</f>
        <v>425</v>
      </c>
      <c r="J109" s="13">
        <v>0</v>
      </c>
    </row>
    <row r="110" spans="1:10" ht="30">
      <c r="A110" s="38"/>
      <c r="B110" s="39"/>
      <c r="C110" s="1" t="s">
        <v>62</v>
      </c>
      <c r="D110" s="13"/>
      <c r="E110" s="13"/>
      <c r="F110" s="18"/>
      <c r="G110" s="18"/>
      <c r="H110" s="18"/>
      <c r="I110" s="18"/>
      <c r="J110" s="13"/>
    </row>
    <row r="111" spans="1:10" ht="19.149999999999999" customHeight="1">
      <c r="A111" s="38"/>
      <c r="B111" s="37" t="s">
        <v>25</v>
      </c>
      <c r="C111" s="1" t="s">
        <v>60</v>
      </c>
      <c r="D111" s="13">
        <f>SUM(D112:D113)</f>
        <v>165.13900000000001</v>
      </c>
      <c r="E111" s="13">
        <f t="shared" ref="E111:J111" si="39">SUM(E112:E113)</f>
        <v>0</v>
      </c>
      <c r="F111" s="18">
        <f t="shared" si="39"/>
        <v>0</v>
      </c>
      <c r="G111" s="18">
        <f t="shared" si="39"/>
        <v>0</v>
      </c>
      <c r="H111" s="18">
        <f t="shared" si="39"/>
        <v>0</v>
      </c>
      <c r="I111" s="18">
        <f t="shared" si="39"/>
        <v>0</v>
      </c>
      <c r="J111" s="13">
        <f t="shared" si="39"/>
        <v>0</v>
      </c>
    </row>
    <row r="112" spans="1:10" ht="19.149999999999999" customHeight="1">
      <c r="A112" s="38"/>
      <c r="B112" s="38"/>
      <c r="C112" s="1" t="s">
        <v>61</v>
      </c>
      <c r="D112" s="13"/>
      <c r="E112" s="13"/>
      <c r="F112" s="18"/>
      <c r="G112" s="18"/>
      <c r="H112" s="18"/>
      <c r="I112" s="18"/>
      <c r="J112" s="13"/>
    </row>
    <row r="113" spans="1:10" ht="22.5" customHeight="1">
      <c r="A113" s="39"/>
      <c r="B113" s="39"/>
      <c r="C113" s="1" t="s">
        <v>62</v>
      </c>
      <c r="D113" s="13">
        <v>165.13900000000001</v>
      </c>
      <c r="E113" s="13">
        <v>0</v>
      </c>
      <c r="F113" s="18">
        <v>0</v>
      </c>
      <c r="G113" s="18">
        <v>0</v>
      </c>
      <c r="H113" s="18">
        <v>0</v>
      </c>
      <c r="I113" s="18">
        <v>0</v>
      </c>
      <c r="J113" s="13">
        <v>0</v>
      </c>
    </row>
    <row r="114" spans="1:10">
      <c r="A114" s="37" t="s">
        <v>80</v>
      </c>
      <c r="B114" s="37" t="s">
        <v>26</v>
      </c>
      <c r="C114" s="1" t="s">
        <v>60</v>
      </c>
      <c r="D114" s="13">
        <f>SUM(D115:D116)</f>
        <v>1160</v>
      </c>
      <c r="E114" s="13">
        <f t="shared" ref="E114:J114" si="40">SUM(E115:E116)</f>
        <v>1195</v>
      </c>
      <c r="F114" s="18">
        <f t="shared" si="40"/>
        <v>1205</v>
      </c>
      <c r="G114" s="18">
        <f t="shared" si="40"/>
        <v>640.4</v>
      </c>
      <c r="H114" s="18">
        <f t="shared" si="40"/>
        <v>2085.7080000000001</v>
      </c>
      <c r="I114" s="18">
        <f t="shared" si="40"/>
        <v>2600</v>
      </c>
      <c r="J114" s="13">
        <f t="shared" si="40"/>
        <v>0</v>
      </c>
    </row>
    <row r="115" spans="1:10">
      <c r="A115" s="38"/>
      <c r="B115" s="38"/>
      <c r="C115" s="1" t="s">
        <v>61</v>
      </c>
      <c r="D115" s="13">
        <v>1160</v>
      </c>
      <c r="E115" s="13">
        <v>1195</v>
      </c>
      <c r="F115" s="18">
        <f>1255-150+100</f>
        <v>1205</v>
      </c>
      <c r="G115" s="18">
        <f>1000-302.6-80+23</f>
        <v>640.4</v>
      </c>
      <c r="H115" s="18">
        <v>2085.7080000000001</v>
      </c>
      <c r="I115" s="18">
        <v>2600</v>
      </c>
      <c r="J115" s="13">
        <v>0</v>
      </c>
    </row>
    <row r="116" spans="1:10" ht="15.75" customHeight="1">
      <c r="A116" s="39"/>
      <c r="B116" s="39"/>
      <c r="C116" s="1" t="s">
        <v>62</v>
      </c>
      <c r="D116" s="13"/>
      <c r="E116" s="13"/>
      <c r="F116" s="18"/>
      <c r="G116" s="18"/>
      <c r="H116" s="18"/>
      <c r="I116" s="18"/>
      <c r="J116" s="13"/>
    </row>
    <row r="117" spans="1:10" ht="25.15" customHeight="1">
      <c r="A117" s="37" t="s">
        <v>81</v>
      </c>
      <c r="B117" s="37" t="s">
        <v>27</v>
      </c>
      <c r="C117" s="1" t="s">
        <v>60</v>
      </c>
      <c r="D117" s="13">
        <f>SUM(D118:D119)</f>
        <v>0</v>
      </c>
      <c r="E117" s="13">
        <f t="shared" ref="E117:J117" si="41">SUM(E118:E119)</f>
        <v>0</v>
      </c>
      <c r="F117" s="18">
        <f t="shared" si="41"/>
        <v>0</v>
      </c>
      <c r="G117" s="18">
        <f t="shared" si="41"/>
        <v>0</v>
      </c>
      <c r="H117" s="18">
        <f t="shared" si="41"/>
        <v>0</v>
      </c>
      <c r="I117" s="18">
        <f t="shared" si="41"/>
        <v>0</v>
      </c>
      <c r="J117" s="13">
        <f t="shared" si="41"/>
        <v>0</v>
      </c>
    </row>
    <row r="118" spans="1:10" ht="25.15" customHeight="1">
      <c r="A118" s="38"/>
      <c r="B118" s="38"/>
      <c r="C118" s="1" t="s">
        <v>61</v>
      </c>
      <c r="D118" s="13"/>
      <c r="E118" s="13"/>
      <c r="F118" s="18"/>
      <c r="G118" s="18"/>
      <c r="H118" s="18"/>
      <c r="I118" s="18"/>
      <c r="J118" s="13"/>
    </row>
    <row r="119" spans="1:10" ht="44.25" customHeight="1">
      <c r="A119" s="39"/>
      <c r="B119" s="39"/>
      <c r="C119" s="1" t="s">
        <v>62</v>
      </c>
      <c r="D119" s="13"/>
      <c r="E119" s="13"/>
      <c r="F119" s="18"/>
      <c r="G119" s="18"/>
      <c r="H119" s="18"/>
      <c r="I119" s="18"/>
      <c r="J119" s="13"/>
    </row>
    <row r="120" spans="1:10">
      <c r="A120" s="37" t="s">
        <v>82</v>
      </c>
      <c r="B120" s="37" t="s">
        <v>22</v>
      </c>
      <c r="C120" s="1" t="s">
        <v>60</v>
      </c>
      <c r="D120" s="13">
        <f>SUM(D121:D122)</f>
        <v>0</v>
      </c>
      <c r="E120" s="13">
        <f t="shared" ref="E120:J120" si="42">SUM(E121:E122)</f>
        <v>0</v>
      </c>
      <c r="F120" s="18">
        <f t="shared" si="42"/>
        <v>0</v>
      </c>
      <c r="G120" s="18">
        <f t="shared" si="42"/>
        <v>0</v>
      </c>
      <c r="H120" s="18">
        <f t="shared" si="42"/>
        <v>0</v>
      </c>
      <c r="I120" s="18">
        <f t="shared" si="42"/>
        <v>0</v>
      </c>
      <c r="J120" s="13">
        <f t="shared" si="42"/>
        <v>0</v>
      </c>
    </row>
    <row r="121" spans="1:10">
      <c r="A121" s="38"/>
      <c r="B121" s="38"/>
      <c r="C121" s="1" t="s">
        <v>61</v>
      </c>
      <c r="D121" s="13"/>
      <c r="E121" s="13"/>
      <c r="F121" s="18"/>
      <c r="G121" s="18"/>
      <c r="H121" s="18"/>
      <c r="I121" s="18"/>
      <c r="J121" s="13"/>
    </row>
    <row r="122" spans="1:10" ht="17.25" customHeight="1">
      <c r="A122" s="39"/>
      <c r="B122" s="39"/>
      <c r="C122" s="1" t="s">
        <v>62</v>
      </c>
      <c r="D122" s="13"/>
      <c r="E122" s="13"/>
      <c r="F122" s="18"/>
      <c r="G122" s="18"/>
      <c r="H122" s="18"/>
      <c r="I122" s="18"/>
      <c r="J122" s="13"/>
    </row>
    <row r="123" spans="1:10">
      <c r="A123" s="37" t="s">
        <v>83</v>
      </c>
      <c r="B123" s="37" t="s">
        <v>28</v>
      </c>
      <c r="C123" s="1" t="s">
        <v>60</v>
      </c>
      <c r="D123" s="13">
        <f>SUM(D124:D125)</f>
        <v>18.899999999999999</v>
      </c>
      <c r="E123" s="13">
        <f t="shared" ref="E123:J123" si="43">SUM(E124:E125)</f>
        <v>17.36</v>
      </c>
      <c r="F123" s="18">
        <f t="shared" si="43"/>
        <v>18.899999999999999</v>
      </c>
      <c r="G123" s="18">
        <f t="shared" si="43"/>
        <v>8.98</v>
      </c>
      <c r="H123" s="18">
        <f t="shared" si="43"/>
        <v>12</v>
      </c>
      <c r="I123" s="18">
        <f t="shared" si="43"/>
        <v>0</v>
      </c>
      <c r="J123" s="13">
        <f t="shared" si="43"/>
        <v>0</v>
      </c>
    </row>
    <row r="124" spans="1:10">
      <c r="A124" s="38"/>
      <c r="B124" s="38"/>
      <c r="C124" s="1" t="s">
        <v>61</v>
      </c>
      <c r="D124" s="13">
        <v>18.899999999999999</v>
      </c>
      <c r="E124" s="13">
        <v>17.36</v>
      </c>
      <c r="F124" s="18">
        <v>18.899999999999999</v>
      </c>
      <c r="G124" s="18">
        <v>8.98</v>
      </c>
      <c r="H124" s="18">
        <f>12</f>
        <v>12</v>
      </c>
      <c r="I124" s="18">
        <v>0</v>
      </c>
      <c r="J124" s="13">
        <v>0</v>
      </c>
    </row>
    <row r="125" spans="1:10" ht="15.75" customHeight="1">
      <c r="A125" s="39"/>
      <c r="B125" s="39"/>
      <c r="C125" s="1" t="s">
        <v>62</v>
      </c>
      <c r="D125" s="13"/>
      <c r="E125" s="13"/>
      <c r="F125" s="18"/>
      <c r="G125" s="18"/>
      <c r="H125" s="18"/>
      <c r="I125" s="18"/>
      <c r="J125" s="13"/>
    </row>
    <row r="126" spans="1:10">
      <c r="A126" s="37" t="s">
        <v>84</v>
      </c>
      <c r="B126" s="37" t="s">
        <v>29</v>
      </c>
      <c r="C126" s="1" t="s">
        <v>60</v>
      </c>
      <c r="D126" s="13">
        <f>SUM(D127:D128)</f>
        <v>0</v>
      </c>
      <c r="E126" s="13">
        <f t="shared" ref="E126:J126" si="44">SUM(E127:E128)</f>
        <v>0</v>
      </c>
      <c r="F126" s="18">
        <f t="shared" si="44"/>
        <v>0</v>
      </c>
      <c r="G126" s="18">
        <f t="shared" si="44"/>
        <v>0</v>
      </c>
      <c r="H126" s="18">
        <f t="shared" si="44"/>
        <v>0</v>
      </c>
      <c r="I126" s="18">
        <f t="shared" si="44"/>
        <v>0</v>
      </c>
      <c r="J126" s="13">
        <f t="shared" si="44"/>
        <v>0</v>
      </c>
    </row>
    <row r="127" spans="1:10">
      <c r="A127" s="38"/>
      <c r="B127" s="38"/>
      <c r="C127" s="1" t="s">
        <v>61</v>
      </c>
      <c r="D127" s="13"/>
      <c r="E127" s="13"/>
      <c r="F127" s="18"/>
      <c r="G127" s="18"/>
      <c r="H127" s="18"/>
      <c r="I127" s="18"/>
      <c r="J127" s="13"/>
    </row>
    <row r="128" spans="1:10" ht="15.75" customHeight="1">
      <c r="A128" s="39"/>
      <c r="B128" s="39"/>
      <c r="C128" s="1" t="s">
        <v>62</v>
      </c>
      <c r="D128" s="13"/>
      <c r="E128" s="13"/>
      <c r="F128" s="18"/>
      <c r="G128" s="18"/>
      <c r="H128" s="18"/>
      <c r="I128" s="18"/>
      <c r="J128" s="13"/>
    </row>
    <row r="129" spans="1:10" ht="20.45" customHeight="1">
      <c r="A129" s="37" t="s">
        <v>85</v>
      </c>
      <c r="B129" s="37" t="s">
        <v>144</v>
      </c>
      <c r="C129" s="1" t="s">
        <v>60</v>
      </c>
      <c r="D129" s="13">
        <f>SUM(D130:D131)</f>
        <v>494.9</v>
      </c>
      <c r="E129" s="13">
        <f t="shared" ref="E129:J129" si="45">SUM(E130:E131)</f>
        <v>490.9</v>
      </c>
      <c r="F129" s="18">
        <f t="shared" si="45"/>
        <v>320.89999999999998</v>
      </c>
      <c r="G129" s="18">
        <f t="shared" si="45"/>
        <v>0</v>
      </c>
      <c r="H129" s="18">
        <f t="shared" si="45"/>
        <v>0</v>
      </c>
      <c r="I129" s="18">
        <f t="shared" si="45"/>
        <v>0</v>
      </c>
      <c r="J129" s="13">
        <f t="shared" si="45"/>
        <v>0</v>
      </c>
    </row>
    <row r="130" spans="1:10" ht="17.45" customHeight="1">
      <c r="A130" s="38"/>
      <c r="B130" s="38"/>
      <c r="C130" s="1" t="s">
        <v>61</v>
      </c>
      <c r="D130" s="13">
        <v>494.9</v>
      </c>
      <c r="E130" s="13">
        <v>490.9</v>
      </c>
      <c r="F130" s="18">
        <v>320.89999999999998</v>
      </c>
      <c r="G130" s="18">
        <v>0</v>
      </c>
      <c r="H130" s="18">
        <v>0</v>
      </c>
      <c r="I130" s="18">
        <v>0</v>
      </c>
      <c r="J130" s="13">
        <v>0</v>
      </c>
    </row>
    <row r="131" spans="1:10" ht="22.15" customHeight="1">
      <c r="A131" s="39"/>
      <c r="B131" s="39"/>
      <c r="C131" s="1" t="s">
        <v>62</v>
      </c>
      <c r="D131" s="13"/>
      <c r="E131" s="13"/>
      <c r="F131" s="18"/>
      <c r="G131" s="18"/>
      <c r="H131" s="18"/>
      <c r="I131" s="18"/>
      <c r="J131" s="13"/>
    </row>
    <row r="132" spans="1:10" ht="19.899999999999999" customHeight="1">
      <c r="A132" s="37" t="s">
        <v>86</v>
      </c>
      <c r="B132" s="55" t="s">
        <v>29</v>
      </c>
      <c r="C132" s="1" t="s">
        <v>60</v>
      </c>
      <c r="D132" s="13">
        <f>SUM(D133:D134)</f>
        <v>135</v>
      </c>
      <c r="E132" s="13">
        <f t="shared" ref="E132:J132" si="46">SUM(E133:E134)</f>
        <v>83.8</v>
      </c>
      <c r="F132" s="18">
        <f t="shared" si="46"/>
        <v>145</v>
      </c>
      <c r="G132" s="18">
        <f t="shared" si="46"/>
        <v>13</v>
      </c>
      <c r="H132" s="18">
        <f t="shared" si="46"/>
        <v>13</v>
      </c>
      <c r="I132" s="18">
        <f t="shared" si="46"/>
        <v>0</v>
      </c>
      <c r="J132" s="13">
        <f t="shared" si="46"/>
        <v>0</v>
      </c>
    </row>
    <row r="133" spans="1:10" ht="18" customHeight="1">
      <c r="A133" s="38"/>
      <c r="B133" s="55"/>
      <c r="C133" s="1" t="s">
        <v>61</v>
      </c>
      <c r="D133" s="13">
        <v>135</v>
      </c>
      <c r="E133" s="13">
        <v>83.8</v>
      </c>
      <c r="F133" s="18">
        <v>145</v>
      </c>
      <c r="G133" s="18">
        <v>13</v>
      </c>
      <c r="H133" s="18">
        <v>13</v>
      </c>
      <c r="I133" s="18">
        <v>0</v>
      </c>
      <c r="J133" s="13">
        <v>0</v>
      </c>
    </row>
    <row r="134" spans="1:10" ht="18.600000000000001" customHeight="1">
      <c r="A134" s="39"/>
      <c r="B134" s="55"/>
      <c r="C134" s="1" t="s">
        <v>62</v>
      </c>
      <c r="D134" s="13"/>
      <c r="E134" s="13"/>
      <c r="F134" s="18"/>
      <c r="G134" s="18"/>
      <c r="H134" s="18"/>
      <c r="I134" s="18"/>
      <c r="J134" s="13"/>
    </row>
    <row r="135" spans="1:10">
      <c r="A135" s="37" t="s">
        <v>87</v>
      </c>
      <c r="B135" s="37" t="s">
        <v>30</v>
      </c>
      <c r="C135" s="1" t="s">
        <v>60</v>
      </c>
      <c r="D135" s="13">
        <f>SUM(D136:D137)</f>
        <v>0</v>
      </c>
      <c r="E135" s="13">
        <f t="shared" ref="E135:J135" si="47">SUM(E136:E137)</f>
        <v>465</v>
      </c>
      <c r="F135" s="18">
        <f t="shared" si="47"/>
        <v>0</v>
      </c>
      <c r="G135" s="18">
        <f t="shared" si="47"/>
        <v>0</v>
      </c>
      <c r="H135" s="18">
        <f t="shared" si="47"/>
        <v>0</v>
      </c>
      <c r="I135" s="18">
        <f t="shared" si="47"/>
        <v>0</v>
      </c>
      <c r="J135" s="13">
        <f t="shared" si="47"/>
        <v>0</v>
      </c>
    </row>
    <row r="136" spans="1:10">
      <c r="A136" s="38"/>
      <c r="B136" s="38"/>
      <c r="C136" s="1" t="s">
        <v>61</v>
      </c>
      <c r="D136" s="13">
        <v>0</v>
      </c>
      <c r="E136" s="13">
        <v>465</v>
      </c>
      <c r="F136" s="18">
        <v>0</v>
      </c>
      <c r="G136" s="18">
        <v>0</v>
      </c>
      <c r="H136" s="18">
        <v>0</v>
      </c>
      <c r="I136" s="18">
        <v>0</v>
      </c>
      <c r="J136" s="13">
        <v>0</v>
      </c>
    </row>
    <row r="137" spans="1:10" ht="30">
      <c r="A137" s="38"/>
      <c r="B137" s="39"/>
      <c r="C137" s="1" t="s">
        <v>62</v>
      </c>
      <c r="D137" s="13"/>
      <c r="E137" s="13"/>
      <c r="F137" s="18"/>
      <c r="G137" s="18"/>
      <c r="H137" s="18"/>
      <c r="I137" s="18"/>
      <c r="J137" s="13"/>
    </row>
    <row r="138" spans="1:10" ht="19.899999999999999" customHeight="1">
      <c r="A138" s="38"/>
      <c r="B138" s="37" t="s">
        <v>31</v>
      </c>
      <c r="C138" s="1" t="s">
        <v>60</v>
      </c>
      <c r="D138" s="13">
        <f>SUM(D139:D141)</f>
        <v>0</v>
      </c>
      <c r="E138" s="13">
        <f t="shared" ref="E138:J138" si="48">SUM(E139:E141)</f>
        <v>756</v>
      </c>
      <c r="F138" s="13">
        <f t="shared" si="48"/>
        <v>0</v>
      </c>
      <c r="G138" s="13">
        <f t="shared" si="48"/>
        <v>0</v>
      </c>
      <c r="H138" s="13">
        <f t="shared" si="48"/>
        <v>0</v>
      </c>
      <c r="I138" s="13">
        <f t="shared" si="48"/>
        <v>0</v>
      </c>
      <c r="J138" s="13">
        <f t="shared" si="48"/>
        <v>0</v>
      </c>
    </row>
    <row r="139" spans="1:10" ht="19.899999999999999" customHeight="1">
      <c r="A139" s="38"/>
      <c r="B139" s="38"/>
      <c r="C139" s="1" t="s">
        <v>61</v>
      </c>
      <c r="D139" s="13"/>
      <c r="E139" s="13"/>
      <c r="F139" s="18"/>
      <c r="G139" s="18"/>
      <c r="H139" s="18"/>
      <c r="I139" s="18"/>
      <c r="J139" s="13"/>
    </row>
    <row r="140" spans="1:10" ht="19.899999999999999" customHeight="1">
      <c r="A140" s="38"/>
      <c r="B140" s="38"/>
      <c r="C140" s="1" t="s">
        <v>62</v>
      </c>
      <c r="D140" s="13">
        <v>0</v>
      </c>
      <c r="E140" s="13">
        <v>0</v>
      </c>
      <c r="F140" s="18">
        <v>0</v>
      </c>
      <c r="G140" s="18">
        <v>0</v>
      </c>
      <c r="H140" s="18">
        <v>0</v>
      </c>
      <c r="I140" s="18">
        <v>0</v>
      </c>
      <c r="J140" s="13">
        <v>0</v>
      </c>
    </row>
    <row r="141" spans="1:10" s="21" customFormat="1" ht="19.899999999999999" customHeight="1">
      <c r="A141" s="38"/>
      <c r="B141" s="39"/>
      <c r="C141" s="22" t="s">
        <v>135</v>
      </c>
      <c r="D141" s="18">
        <v>0</v>
      </c>
      <c r="E141" s="18">
        <v>756</v>
      </c>
      <c r="F141" s="18">
        <v>0</v>
      </c>
      <c r="G141" s="18">
        <v>0</v>
      </c>
      <c r="H141" s="18">
        <v>0</v>
      </c>
      <c r="I141" s="18">
        <v>0</v>
      </c>
      <c r="J141" s="18">
        <v>0</v>
      </c>
    </row>
    <row r="142" spans="1:10" ht="30" customHeight="1">
      <c r="A142" s="38"/>
      <c r="B142" s="55" t="s">
        <v>32</v>
      </c>
      <c r="C142" s="1" t="s">
        <v>60</v>
      </c>
      <c r="D142" s="13">
        <f>SUM(D143:D144)</f>
        <v>0</v>
      </c>
      <c r="E142" s="13">
        <f t="shared" ref="E142:J142" si="49">SUM(E143:E144)</f>
        <v>400</v>
      </c>
      <c r="F142" s="18">
        <f t="shared" si="49"/>
        <v>0</v>
      </c>
      <c r="G142" s="18">
        <f t="shared" si="49"/>
        <v>0</v>
      </c>
      <c r="H142" s="18">
        <f t="shared" si="49"/>
        <v>0</v>
      </c>
      <c r="I142" s="18">
        <f t="shared" si="49"/>
        <v>0</v>
      </c>
      <c r="J142" s="13">
        <f t="shared" si="49"/>
        <v>0</v>
      </c>
    </row>
    <row r="143" spans="1:10" ht="30" customHeight="1">
      <c r="A143" s="38"/>
      <c r="B143" s="55"/>
      <c r="C143" s="1" t="s">
        <v>61</v>
      </c>
      <c r="D143" s="13"/>
      <c r="E143" s="13"/>
      <c r="F143" s="18"/>
      <c r="G143" s="18"/>
      <c r="H143" s="18"/>
      <c r="I143" s="18"/>
      <c r="J143" s="13"/>
    </row>
    <row r="144" spans="1:10" ht="46.5" customHeight="1">
      <c r="A144" s="39"/>
      <c r="B144" s="55"/>
      <c r="C144" s="1" t="s">
        <v>62</v>
      </c>
      <c r="D144" s="13">
        <v>0</v>
      </c>
      <c r="E144" s="13">
        <v>400</v>
      </c>
      <c r="F144" s="18">
        <v>0</v>
      </c>
      <c r="G144" s="18">
        <v>0</v>
      </c>
      <c r="H144" s="18">
        <v>0</v>
      </c>
      <c r="I144" s="18">
        <v>0</v>
      </c>
      <c r="J144" s="13">
        <v>0</v>
      </c>
    </row>
    <row r="145" spans="1:10" ht="31.9" customHeight="1">
      <c r="A145" s="37" t="s">
        <v>88</v>
      </c>
      <c r="B145" s="37" t="s">
        <v>33</v>
      </c>
      <c r="C145" s="1" t="s">
        <v>60</v>
      </c>
      <c r="D145" s="13">
        <f>SUM(D146:D147)</f>
        <v>6727.2</v>
      </c>
      <c r="E145" s="13">
        <f t="shared" ref="E145:J145" si="50">SUM(E146:E147)</f>
        <v>6619.1</v>
      </c>
      <c r="F145" s="18">
        <f t="shared" si="50"/>
        <v>6280.8</v>
      </c>
      <c r="G145" s="18">
        <f t="shared" si="50"/>
        <v>0</v>
      </c>
      <c r="H145" s="18">
        <f t="shared" si="50"/>
        <v>0</v>
      </c>
      <c r="I145" s="18">
        <f t="shared" si="50"/>
        <v>0</v>
      </c>
      <c r="J145" s="13">
        <f t="shared" si="50"/>
        <v>0</v>
      </c>
    </row>
    <row r="146" spans="1:10" ht="31.9" customHeight="1">
      <c r="A146" s="38"/>
      <c r="B146" s="38"/>
      <c r="C146" s="1" t="s">
        <v>61</v>
      </c>
      <c r="D146" s="13"/>
      <c r="E146" s="13"/>
      <c r="F146" s="18"/>
      <c r="G146" s="18"/>
      <c r="H146" s="18"/>
      <c r="I146" s="18"/>
      <c r="J146" s="13"/>
    </row>
    <row r="147" spans="1:10" ht="30" customHeight="1">
      <c r="A147" s="39"/>
      <c r="B147" s="39"/>
      <c r="C147" s="1" t="s">
        <v>62</v>
      </c>
      <c r="D147" s="13">
        <v>6727.2</v>
      </c>
      <c r="E147" s="13">
        <v>6619.1</v>
      </c>
      <c r="F147" s="18">
        <v>6280.8</v>
      </c>
      <c r="G147" s="18">
        <v>0</v>
      </c>
      <c r="H147" s="18">
        <v>0</v>
      </c>
      <c r="I147" s="18">
        <v>0</v>
      </c>
      <c r="J147" s="13">
        <v>0</v>
      </c>
    </row>
    <row r="148" spans="1:10">
      <c r="A148" s="37" t="s">
        <v>108</v>
      </c>
      <c r="B148" s="37" t="s">
        <v>111</v>
      </c>
      <c r="C148" s="1" t="s">
        <v>60</v>
      </c>
      <c r="D148" s="13">
        <f>SUM(D149:D150)</f>
        <v>0</v>
      </c>
      <c r="E148" s="13">
        <f t="shared" ref="E148:J148" si="51">SUM(E149:E150)</f>
        <v>0</v>
      </c>
      <c r="F148" s="18">
        <f t="shared" si="51"/>
        <v>195</v>
      </c>
      <c r="G148" s="18">
        <f t="shared" si="51"/>
        <v>30</v>
      </c>
      <c r="H148" s="18">
        <f t="shared" si="51"/>
        <v>0</v>
      </c>
      <c r="I148" s="18">
        <f t="shared" si="51"/>
        <v>0</v>
      </c>
      <c r="J148" s="13">
        <f t="shared" si="51"/>
        <v>0</v>
      </c>
    </row>
    <row r="149" spans="1:10">
      <c r="A149" s="38"/>
      <c r="B149" s="38"/>
      <c r="C149" s="1" t="s">
        <v>61</v>
      </c>
      <c r="D149" s="13">
        <v>0</v>
      </c>
      <c r="E149" s="13">
        <v>0</v>
      </c>
      <c r="F149" s="18">
        <f>105+90</f>
        <v>195</v>
      </c>
      <c r="G149" s="18">
        <v>30</v>
      </c>
      <c r="H149" s="18">
        <v>0</v>
      </c>
      <c r="I149" s="18">
        <v>0</v>
      </c>
      <c r="J149" s="13">
        <v>0</v>
      </c>
    </row>
    <row r="150" spans="1:10" ht="30">
      <c r="A150" s="39"/>
      <c r="B150" s="39"/>
      <c r="C150" s="1" t="s">
        <v>62</v>
      </c>
      <c r="D150" s="13"/>
      <c r="E150" s="13"/>
      <c r="F150" s="18"/>
      <c r="G150" s="18"/>
      <c r="H150" s="18"/>
      <c r="I150" s="18"/>
      <c r="J150" s="13"/>
    </row>
    <row r="151" spans="1:10" ht="31.9" customHeight="1">
      <c r="A151" s="37" t="s">
        <v>113</v>
      </c>
      <c r="B151" s="37" t="s">
        <v>126</v>
      </c>
      <c r="C151" s="1" t="s">
        <v>60</v>
      </c>
      <c r="D151" s="13">
        <f>SUM(D152:D153)</f>
        <v>0</v>
      </c>
      <c r="E151" s="13">
        <f t="shared" ref="E151:J151" si="52">SUM(E152:E153)</f>
        <v>0</v>
      </c>
      <c r="F151" s="18">
        <f t="shared" si="52"/>
        <v>0</v>
      </c>
      <c r="G151" s="18">
        <f t="shared" si="52"/>
        <v>6222.7000000000007</v>
      </c>
      <c r="H151" s="18">
        <f>SUM(H152:H153)</f>
        <v>6362.8</v>
      </c>
      <c r="I151" s="18">
        <f t="shared" si="52"/>
        <v>8218.5</v>
      </c>
      <c r="J151" s="13">
        <f t="shared" si="52"/>
        <v>8218.5</v>
      </c>
    </row>
    <row r="152" spans="1:10" ht="31.9" customHeight="1">
      <c r="A152" s="38"/>
      <c r="B152" s="38"/>
      <c r="C152" s="1" t="s">
        <v>61</v>
      </c>
      <c r="D152" s="13">
        <f>SUM(D153:D154)</f>
        <v>0</v>
      </c>
      <c r="E152" s="13">
        <v>0</v>
      </c>
      <c r="F152" s="18">
        <v>0</v>
      </c>
      <c r="G152" s="18">
        <v>74.599999999999994</v>
      </c>
      <c r="H152" s="18">
        <f>63.3+0.4</f>
        <v>63.699999999999996</v>
      </c>
      <c r="I152" s="18">
        <f>84.305-2.105</f>
        <v>82.2</v>
      </c>
      <c r="J152" s="13">
        <f>84.305-2.105</f>
        <v>82.2</v>
      </c>
    </row>
    <row r="153" spans="1:10" ht="31.9" customHeight="1">
      <c r="A153" s="39"/>
      <c r="B153" s="38"/>
      <c r="C153" s="1" t="s">
        <v>62</v>
      </c>
      <c r="D153" s="13">
        <v>0</v>
      </c>
      <c r="E153" s="13">
        <v>0</v>
      </c>
      <c r="F153" s="18">
        <v>0</v>
      </c>
      <c r="G153" s="18">
        <v>6148.1</v>
      </c>
      <c r="H153" s="18">
        <f>6264.8+34.3</f>
        <v>6299.1</v>
      </c>
      <c r="I153" s="18">
        <f>8346.1-209.8</f>
        <v>8136.3</v>
      </c>
      <c r="J153" s="13">
        <f>8346.1-209.8</f>
        <v>8136.3</v>
      </c>
    </row>
    <row r="154" spans="1:10">
      <c r="A154" s="37" t="s">
        <v>114</v>
      </c>
      <c r="B154" s="37" t="s">
        <v>115</v>
      </c>
      <c r="C154" s="1" t="s">
        <v>60</v>
      </c>
      <c r="D154" s="13">
        <f>SUM(D155:D156)</f>
        <v>0</v>
      </c>
      <c r="E154" s="13">
        <f t="shared" ref="E154:J154" si="53">SUM(E155:E156)</f>
        <v>0</v>
      </c>
      <c r="F154" s="18">
        <f t="shared" si="53"/>
        <v>0</v>
      </c>
      <c r="G154" s="18">
        <f t="shared" si="53"/>
        <v>0</v>
      </c>
      <c r="H154" s="18">
        <f t="shared" si="53"/>
        <v>0</v>
      </c>
      <c r="I154" s="18">
        <f t="shared" si="53"/>
        <v>0</v>
      </c>
      <c r="J154" s="13">
        <f t="shared" si="53"/>
        <v>0</v>
      </c>
    </row>
    <row r="155" spans="1:10">
      <c r="A155" s="38"/>
      <c r="B155" s="38"/>
      <c r="C155" s="1" t="s">
        <v>61</v>
      </c>
      <c r="D155" s="13">
        <v>0</v>
      </c>
      <c r="E155" s="13">
        <v>0</v>
      </c>
      <c r="F155" s="18">
        <v>0</v>
      </c>
      <c r="G155" s="18">
        <f>33.3-33.3</f>
        <v>0</v>
      </c>
      <c r="H155" s="18">
        <v>0</v>
      </c>
      <c r="I155" s="18">
        <v>0</v>
      </c>
      <c r="J155" s="13">
        <v>0</v>
      </c>
    </row>
    <row r="156" spans="1:10" ht="30">
      <c r="A156" s="39"/>
      <c r="B156" s="39"/>
      <c r="C156" s="1" t="s">
        <v>62</v>
      </c>
      <c r="D156" s="13"/>
      <c r="E156" s="13"/>
      <c r="F156" s="18"/>
      <c r="G156" s="18"/>
      <c r="H156" s="18"/>
      <c r="I156" s="18"/>
      <c r="J156" s="13"/>
    </row>
    <row r="157" spans="1:10">
      <c r="A157" s="37" t="s">
        <v>125</v>
      </c>
      <c r="B157" s="37" t="s">
        <v>123</v>
      </c>
      <c r="C157" s="1" t="s">
        <v>60</v>
      </c>
      <c r="D157" s="13">
        <f>SUM(D158:D159)</f>
        <v>0</v>
      </c>
      <c r="E157" s="13">
        <f t="shared" ref="E157:J157" si="54">SUM(E158:E159)</f>
        <v>0</v>
      </c>
      <c r="F157" s="18">
        <f t="shared" si="54"/>
        <v>0</v>
      </c>
      <c r="G157" s="18">
        <f t="shared" si="54"/>
        <v>7500</v>
      </c>
      <c r="H157" s="18">
        <f t="shared" si="54"/>
        <v>0</v>
      </c>
      <c r="I157" s="18">
        <f t="shared" si="54"/>
        <v>0</v>
      </c>
      <c r="J157" s="13">
        <f t="shared" si="54"/>
        <v>0</v>
      </c>
    </row>
    <row r="158" spans="1:10">
      <c r="A158" s="38"/>
      <c r="B158" s="38"/>
      <c r="C158" s="1" t="s">
        <v>61</v>
      </c>
      <c r="D158" s="13">
        <v>0</v>
      </c>
      <c r="E158" s="13">
        <v>0</v>
      </c>
      <c r="F158" s="18">
        <v>0</v>
      </c>
      <c r="G158" s="18">
        <v>7500</v>
      </c>
      <c r="H158" s="18">
        <v>0</v>
      </c>
      <c r="I158" s="18">
        <v>0</v>
      </c>
      <c r="J158" s="13">
        <v>0</v>
      </c>
    </row>
    <row r="159" spans="1:10" ht="17.25" customHeight="1">
      <c r="A159" s="39"/>
      <c r="B159" s="39"/>
      <c r="C159" s="1" t="s">
        <v>62</v>
      </c>
      <c r="D159" s="13"/>
      <c r="E159" s="13"/>
      <c r="F159" s="18"/>
      <c r="G159" s="18"/>
      <c r="H159" s="18"/>
      <c r="I159" s="18"/>
      <c r="J159" s="13"/>
    </row>
    <row r="160" spans="1:10">
      <c r="A160" s="37" t="s">
        <v>128</v>
      </c>
      <c r="B160" s="37" t="s">
        <v>129</v>
      </c>
      <c r="C160" s="1" t="s">
        <v>60</v>
      </c>
      <c r="D160" s="13">
        <f>SUM(D161:D162)</f>
        <v>0</v>
      </c>
      <c r="E160" s="13">
        <f t="shared" ref="E160:J160" si="55">SUM(E161:E162)</f>
        <v>0</v>
      </c>
      <c r="F160" s="18">
        <f t="shared" si="55"/>
        <v>0</v>
      </c>
      <c r="G160" s="18">
        <f t="shared" si="55"/>
        <v>0</v>
      </c>
      <c r="H160" s="18">
        <f t="shared" si="55"/>
        <v>0</v>
      </c>
      <c r="I160" s="18">
        <f t="shared" si="55"/>
        <v>300</v>
      </c>
      <c r="J160" s="13">
        <f t="shared" si="55"/>
        <v>0</v>
      </c>
    </row>
    <row r="161" spans="1:10">
      <c r="A161" s="38"/>
      <c r="B161" s="38"/>
      <c r="C161" s="1" t="s">
        <v>61</v>
      </c>
      <c r="D161" s="13">
        <v>0</v>
      </c>
      <c r="E161" s="13">
        <v>0</v>
      </c>
      <c r="F161" s="18">
        <v>0</v>
      </c>
      <c r="G161" s="18">
        <v>0</v>
      </c>
      <c r="H161" s="18">
        <v>0</v>
      </c>
      <c r="I161" s="18">
        <v>300</v>
      </c>
      <c r="J161" s="13">
        <v>0</v>
      </c>
    </row>
    <row r="162" spans="1:10" ht="17.25" customHeight="1">
      <c r="A162" s="39"/>
      <c r="B162" s="39"/>
      <c r="C162" s="1" t="s">
        <v>62</v>
      </c>
      <c r="D162" s="13"/>
      <c r="E162" s="13"/>
      <c r="F162" s="18"/>
      <c r="G162" s="18"/>
      <c r="H162" s="18"/>
      <c r="I162" s="18"/>
      <c r="J162" s="13"/>
    </row>
    <row r="163" spans="1:10" ht="13.9" customHeight="1">
      <c r="A163" s="43" t="s">
        <v>34</v>
      </c>
      <c r="B163" s="43" t="s">
        <v>35</v>
      </c>
      <c r="C163" s="29" t="s">
        <v>60</v>
      </c>
      <c r="D163" s="15">
        <f>SUM(D164:D166)</f>
        <v>25267.873999999996</v>
      </c>
      <c r="E163" s="15">
        <f t="shared" ref="E163:J163" si="56">SUM(E164:E166)</f>
        <v>23319.319</v>
      </c>
      <c r="F163" s="15">
        <f t="shared" si="56"/>
        <v>18178.423999999999</v>
      </c>
      <c r="G163" s="15">
        <f t="shared" si="56"/>
        <v>18167.117999999999</v>
      </c>
      <c r="H163" s="15">
        <f t="shared" si="56"/>
        <v>21308.097000000002</v>
      </c>
      <c r="I163" s="15">
        <f t="shared" si="56"/>
        <v>24371.357</v>
      </c>
      <c r="J163" s="15">
        <f t="shared" si="56"/>
        <v>22213.534</v>
      </c>
    </row>
    <row r="164" spans="1:10">
      <c r="A164" s="44"/>
      <c r="B164" s="44"/>
      <c r="C164" s="29" t="s">
        <v>61</v>
      </c>
      <c r="D164" s="15">
        <f>D168+D171+D174+D177+D180+D183+D189+D193+D197+D200+D209+D212+D215+D218+D221+D224+D186+D227+D203</f>
        <v>22921.433999999997</v>
      </c>
      <c r="E164" s="15">
        <f t="shared" ref="E164:J164" si="57">E168+E171+E174+E177+E180+E183+E189+E193+E197+E200+E209+E212+E215+E218+E221+E224+E186+E227+E203</f>
        <v>22111.694</v>
      </c>
      <c r="F164" s="19">
        <f t="shared" si="57"/>
        <v>16684.224999999999</v>
      </c>
      <c r="G164" s="19">
        <f t="shared" si="57"/>
        <v>16783.182000000001</v>
      </c>
      <c r="H164" s="19">
        <f>H168+H171+H174+H177+H180+H183+H189+H193+H197+H200+H209+H212+H215+H218+H221+H224+H186+H227+H203</f>
        <v>19856.108</v>
      </c>
      <c r="I164" s="19">
        <f>I168+I171+I174+I177+I180+I183+I189+I193+I197+I200+I209+I212+I215+I218+I221+I224+I186+I227+I203+I206</f>
        <v>19209.838</v>
      </c>
      <c r="J164" s="15">
        <f t="shared" si="57"/>
        <v>22213.534</v>
      </c>
    </row>
    <row r="165" spans="1:10" ht="30">
      <c r="A165" s="44"/>
      <c r="B165" s="44"/>
      <c r="C165" s="29" t="s">
        <v>62</v>
      </c>
      <c r="D165" s="15">
        <f>D169+D172+D175+D178+D181+D184+D190+D194+D198+D201+D210+D213+D216+D219+D222+D225+D231+D204+D228</f>
        <v>2106.44</v>
      </c>
      <c r="E165" s="15">
        <f t="shared" ref="E165:J165" si="58">E169+E172+E175+E178+E181+E184+E190+E194+E198+E201+E210+E213+E216+E219+E222+E225+E231+E204+E228</f>
        <v>745.92499999999995</v>
      </c>
      <c r="F165" s="19">
        <f t="shared" si="58"/>
        <v>885.61400000000003</v>
      </c>
      <c r="G165" s="19">
        <f t="shared" si="58"/>
        <v>1184.942</v>
      </c>
      <c r="H165" s="19">
        <f t="shared" si="58"/>
        <v>1141.7910000000002</v>
      </c>
      <c r="I165" s="19">
        <f>I169+I172+I175+I178+I181+I184+I190+I194+I198+I201+I210+I213+I216+I219+I222+I225+I231+I204+I228+I207</f>
        <v>4964.96</v>
      </c>
      <c r="J165" s="15">
        <f t="shared" si="58"/>
        <v>0</v>
      </c>
    </row>
    <row r="166" spans="1:10" s="21" customFormat="1">
      <c r="A166" s="45"/>
      <c r="B166" s="45"/>
      <c r="C166" s="32" t="s">
        <v>135</v>
      </c>
      <c r="D166" s="19">
        <f>D191+D195</f>
        <v>240</v>
      </c>
      <c r="E166" s="19">
        <f t="shared" ref="E166:J166" si="59">E191+E195</f>
        <v>461.7</v>
      </c>
      <c r="F166" s="19">
        <f t="shared" si="59"/>
        <v>608.58500000000004</v>
      </c>
      <c r="G166" s="19">
        <f t="shared" si="59"/>
        <v>198.994</v>
      </c>
      <c r="H166" s="19">
        <f t="shared" si="59"/>
        <v>310.19799999999998</v>
      </c>
      <c r="I166" s="19">
        <f t="shared" si="59"/>
        <v>196.559</v>
      </c>
      <c r="J166" s="19">
        <f t="shared" si="59"/>
        <v>0</v>
      </c>
    </row>
    <row r="167" spans="1:10" ht="18" customHeight="1">
      <c r="A167" s="37" t="s">
        <v>89</v>
      </c>
      <c r="B167" s="55" t="s">
        <v>36</v>
      </c>
      <c r="C167" s="1" t="s">
        <v>60</v>
      </c>
      <c r="D167" s="13">
        <f>SUM(D168:D169)</f>
        <v>6</v>
      </c>
      <c r="E167" s="13">
        <f t="shared" ref="E167:J167" si="60">SUM(E168:E169)</f>
        <v>6</v>
      </c>
      <c r="F167" s="18">
        <f t="shared" si="60"/>
        <v>6</v>
      </c>
      <c r="G167" s="18">
        <f t="shared" si="60"/>
        <v>0</v>
      </c>
      <c r="H167" s="18">
        <f t="shared" si="60"/>
        <v>0</v>
      </c>
      <c r="I167" s="18">
        <f t="shared" si="60"/>
        <v>0</v>
      </c>
      <c r="J167" s="13">
        <f t="shared" si="60"/>
        <v>0</v>
      </c>
    </row>
    <row r="168" spans="1:10" ht="18" customHeight="1">
      <c r="A168" s="38"/>
      <c r="B168" s="55"/>
      <c r="C168" s="1" t="s">
        <v>61</v>
      </c>
      <c r="D168" s="13">
        <v>6</v>
      </c>
      <c r="E168" s="13">
        <v>6</v>
      </c>
      <c r="F168" s="18">
        <v>6</v>
      </c>
      <c r="G168" s="18">
        <v>0</v>
      </c>
      <c r="H168" s="18">
        <v>0</v>
      </c>
      <c r="I168" s="18">
        <v>0</v>
      </c>
      <c r="J168" s="13">
        <v>0</v>
      </c>
    </row>
    <row r="169" spans="1:10" ht="24" customHeight="1">
      <c r="A169" s="39"/>
      <c r="B169" s="55"/>
      <c r="C169" s="1" t="s">
        <v>62</v>
      </c>
      <c r="D169" s="13"/>
      <c r="E169" s="13"/>
      <c r="F169" s="18"/>
      <c r="G169" s="18"/>
      <c r="H169" s="18"/>
      <c r="I169" s="18"/>
      <c r="J169" s="13"/>
    </row>
    <row r="170" spans="1:10">
      <c r="A170" s="37" t="s">
        <v>90</v>
      </c>
      <c r="B170" s="37" t="s">
        <v>37</v>
      </c>
      <c r="C170" s="1" t="s">
        <v>60</v>
      </c>
      <c r="D170" s="13">
        <f>SUM(D171:D172)</f>
        <v>800</v>
      </c>
      <c r="E170" s="13">
        <f t="shared" ref="E170" si="61">SUM(E171:E172)</f>
        <v>800</v>
      </c>
      <c r="F170" s="18">
        <f t="shared" ref="F170" si="62">SUM(F171:F172)</f>
        <v>800</v>
      </c>
      <c r="G170" s="18">
        <f t="shared" ref="G170" si="63">SUM(G171:G172)</f>
        <v>800</v>
      </c>
      <c r="H170" s="18">
        <f t="shared" ref="H170" si="64">SUM(H171:H172)</f>
        <v>500</v>
      </c>
      <c r="I170" s="18">
        <f t="shared" ref="I170" si="65">SUM(I171:I172)</f>
        <v>500</v>
      </c>
      <c r="J170" s="13">
        <f t="shared" ref="J170" si="66">SUM(J171:J172)</f>
        <v>0</v>
      </c>
    </row>
    <row r="171" spans="1:10">
      <c r="A171" s="38"/>
      <c r="B171" s="38"/>
      <c r="C171" s="1" t="s">
        <v>61</v>
      </c>
      <c r="D171" s="13">
        <v>800</v>
      </c>
      <c r="E171" s="13">
        <v>800</v>
      </c>
      <c r="F171" s="18">
        <v>800</v>
      </c>
      <c r="G171" s="18">
        <v>800</v>
      </c>
      <c r="H171" s="18">
        <v>500</v>
      </c>
      <c r="I171" s="18">
        <v>500</v>
      </c>
      <c r="J171" s="13">
        <v>0</v>
      </c>
    </row>
    <row r="172" spans="1:10" ht="18.75" customHeight="1">
      <c r="A172" s="39"/>
      <c r="B172" s="39"/>
      <c r="C172" s="1" t="s">
        <v>62</v>
      </c>
      <c r="D172" s="13"/>
      <c r="E172" s="13"/>
      <c r="F172" s="18"/>
      <c r="G172" s="18"/>
      <c r="H172" s="18"/>
      <c r="I172" s="18"/>
      <c r="J172" s="13"/>
    </row>
    <row r="173" spans="1:10">
      <c r="A173" s="37" t="s">
        <v>90</v>
      </c>
      <c r="B173" s="55" t="s">
        <v>38</v>
      </c>
      <c r="C173" s="1" t="s">
        <v>60</v>
      </c>
      <c r="D173" s="13">
        <f>SUM(D174:D175)</f>
        <v>9</v>
      </c>
      <c r="E173" s="13">
        <f t="shared" ref="E173" si="67">SUM(E174:E175)</f>
        <v>9</v>
      </c>
      <c r="F173" s="18">
        <f t="shared" ref="F173" si="68">SUM(F174:F175)</f>
        <v>0</v>
      </c>
      <c r="G173" s="18">
        <f t="shared" ref="G173" si="69">SUM(G174:G175)</f>
        <v>0</v>
      </c>
      <c r="H173" s="18">
        <f t="shared" ref="H173" si="70">SUM(H174:H175)</f>
        <v>0</v>
      </c>
      <c r="I173" s="18">
        <f t="shared" ref="I173" si="71">SUM(I174:I175)</f>
        <v>0</v>
      </c>
      <c r="J173" s="13">
        <f t="shared" ref="J173" si="72">SUM(J174:J175)</f>
        <v>0</v>
      </c>
    </row>
    <row r="174" spans="1:10">
      <c r="A174" s="38"/>
      <c r="B174" s="55"/>
      <c r="C174" s="1" t="s">
        <v>61</v>
      </c>
      <c r="D174" s="13">
        <v>9</v>
      </c>
      <c r="E174" s="13">
        <v>9</v>
      </c>
      <c r="F174" s="18">
        <v>0</v>
      </c>
      <c r="G174" s="18">
        <v>0</v>
      </c>
      <c r="H174" s="18">
        <v>0</v>
      </c>
      <c r="I174" s="18">
        <v>0</v>
      </c>
      <c r="J174" s="13">
        <v>0</v>
      </c>
    </row>
    <row r="175" spans="1:10" ht="15" customHeight="1">
      <c r="A175" s="39"/>
      <c r="B175" s="55"/>
      <c r="C175" s="1" t="s">
        <v>62</v>
      </c>
      <c r="D175" s="13"/>
      <c r="E175" s="13"/>
      <c r="F175" s="18"/>
      <c r="G175" s="18"/>
      <c r="H175" s="18"/>
      <c r="I175" s="18"/>
      <c r="J175" s="13"/>
    </row>
    <row r="176" spans="1:10">
      <c r="A176" s="37" t="s">
        <v>91</v>
      </c>
      <c r="B176" s="37" t="s">
        <v>39</v>
      </c>
      <c r="C176" s="1" t="s">
        <v>60</v>
      </c>
      <c r="D176" s="13">
        <f>SUM(D177:D178)</f>
        <v>187.5</v>
      </c>
      <c r="E176" s="13">
        <f t="shared" ref="E176" si="73">SUM(E177:E178)</f>
        <v>77.433000000000007</v>
      </c>
      <c r="F176" s="18">
        <f t="shared" ref="F176" si="74">SUM(F177:F178)</f>
        <v>46.39</v>
      </c>
      <c r="G176" s="18">
        <f t="shared" ref="G176" si="75">SUM(G177:G178)</f>
        <v>0</v>
      </c>
      <c r="H176" s="18">
        <f t="shared" ref="H176" si="76">SUM(H177:H178)</f>
        <v>0</v>
      </c>
      <c r="I176" s="18">
        <f t="shared" ref="I176" si="77">SUM(I177:I178)</f>
        <v>0</v>
      </c>
      <c r="J176" s="13">
        <f t="shared" ref="J176" si="78">SUM(J177:J178)</f>
        <v>0</v>
      </c>
    </row>
    <row r="177" spans="1:11">
      <c r="A177" s="38"/>
      <c r="B177" s="38"/>
      <c r="C177" s="1" t="s">
        <v>61</v>
      </c>
      <c r="D177" s="13">
        <v>187.5</v>
      </c>
      <c r="E177" s="13">
        <v>77.433000000000007</v>
      </c>
      <c r="F177" s="18">
        <v>46.39</v>
      </c>
      <c r="G177" s="18">
        <v>0</v>
      </c>
      <c r="H177" s="18">
        <v>0</v>
      </c>
      <c r="I177" s="18">
        <v>0</v>
      </c>
      <c r="J177" s="13">
        <v>0</v>
      </c>
    </row>
    <row r="178" spans="1:11" ht="18.75" customHeight="1">
      <c r="A178" s="39"/>
      <c r="B178" s="39"/>
      <c r="C178" s="1" t="s">
        <v>62</v>
      </c>
      <c r="D178" s="13"/>
      <c r="E178" s="13"/>
      <c r="F178" s="18"/>
      <c r="G178" s="18"/>
      <c r="H178" s="18"/>
      <c r="I178" s="18"/>
      <c r="J178" s="13"/>
    </row>
    <row r="179" spans="1:11">
      <c r="A179" s="37" t="s">
        <v>92</v>
      </c>
      <c r="B179" s="55" t="s">
        <v>40</v>
      </c>
      <c r="C179" s="1" t="s">
        <v>60</v>
      </c>
      <c r="D179" s="13">
        <f>SUM(D180:D181)</f>
        <v>0</v>
      </c>
      <c r="E179" s="13">
        <f t="shared" ref="E179" si="79">SUM(E180:E181)</f>
        <v>0</v>
      </c>
      <c r="F179" s="18">
        <f t="shared" ref="F179" si="80">SUM(F180:F181)</f>
        <v>0</v>
      </c>
      <c r="G179" s="18">
        <f t="shared" ref="G179" si="81">SUM(G180:G181)</f>
        <v>0</v>
      </c>
      <c r="H179" s="18">
        <f t="shared" ref="H179" si="82">SUM(H180:H181)</f>
        <v>0</v>
      </c>
      <c r="I179" s="18">
        <f t="shared" ref="I179" si="83">SUM(I180:I181)</f>
        <v>0</v>
      </c>
      <c r="J179" s="13">
        <f t="shared" ref="J179" si="84">SUM(J180:J181)</f>
        <v>0</v>
      </c>
    </row>
    <row r="180" spans="1:11">
      <c r="A180" s="38"/>
      <c r="B180" s="55"/>
      <c r="C180" s="1" t="s">
        <v>61</v>
      </c>
      <c r="D180" s="13"/>
      <c r="E180" s="13"/>
      <c r="F180" s="18"/>
      <c r="G180" s="18"/>
      <c r="H180" s="18"/>
      <c r="I180" s="18"/>
      <c r="J180" s="13"/>
    </row>
    <row r="181" spans="1:11" ht="21.75" customHeight="1">
      <c r="A181" s="39"/>
      <c r="B181" s="55"/>
      <c r="C181" s="1" t="s">
        <v>62</v>
      </c>
      <c r="D181" s="13"/>
      <c r="E181" s="13"/>
      <c r="F181" s="18"/>
      <c r="G181" s="18"/>
      <c r="H181" s="18"/>
      <c r="I181" s="18"/>
      <c r="J181" s="13"/>
    </row>
    <row r="182" spans="1:11" ht="16.899999999999999" customHeight="1">
      <c r="A182" s="37" t="s">
        <v>93</v>
      </c>
      <c r="B182" s="55" t="s">
        <v>145</v>
      </c>
      <c r="C182" s="1" t="s">
        <v>60</v>
      </c>
      <c r="D182" s="13">
        <f>SUM(D183:D184)</f>
        <v>192</v>
      </c>
      <c r="E182" s="13">
        <f t="shared" ref="E182" si="85">SUM(E183:E184)</f>
        <v>227.3</v>
      </c>
      <c r="F182" s="18">
        <f t="shared" ref="F182" si="86">SUM(F183:F184)</f>
        <v>0</v>
      </c>
      <c r="G182" s="18">
        <f t="shared" ref="G182" si="87">SUM(G183:G184)</f>
        <v>7</v>
      </c>
      <c r="H182" s="18">
        <f t="shared" ref="H182" si="88">SUM(H183:H184)</f>
        <v>0</v>
      </c>
      <c r="I182" s="18">
        <f t="shared" ref="I182" si="89">SUM(I183:I184)</f>
        <v>0</v>
      </c>
      <c r="J182" s="13">
        <f t="shared" ref="J182" si="90">SUM(J183:J184)</f>
        <v>0</v>
      </c>
    </row>
    <row r="183" spans="1:11" ht="18.600000000000001" customHeight="1">
      <c r="A183" s="38"/>
      <c r="B183" s="55"/>
      <c r="C183" s="1" t="s">
        <v>61</v>
      </c>
      <c r="D183" s="13">
        <v>192</v>
      </c>
      <c r="E183" s="13">
        <v>227.3</v>
      </c>
      <c r="F183" s="18">
        <v>0</v>
      </c>
      <c r="G183" s="18">
        <v>7</v>
      </c>
      <c r="H183" s="18">
        <v>0</v>
      </c>
      <c r="I183" s="18">
        <v>0</v>
      </c>
      <c r="J183" s="13">
        <v>0</v>
      </c>
    </row>
    <row r="184" spans="1:11" ht="18.600000000000001" customHeight="1">
      <c r="A184" s="39"/>
      <c r="B184" s="55"/>
      <c r="C184" s="1" t="s">
        <v>62</v>
      </c>
      <c r="D184" s="13"/>
      <c r="E184" s="13"/>
      <c r="F184" s="18"/>
      <c r="G184" s="18"/>
      <c r="H184" s="18"/>
      <c r="I184" s="18"/>
      <c r="J184" s="13"/>
    </row>
    <row r="185" spans="1:11" ht="19.149999999999999" customHeight="1">
      <c r="A185" s="37" t="s">
        <v>106</v>
      </c>
      <c r="B185" s="55" t="s">
        <v>146</v>
      </c>
      <c r="C185" s="1" t="s">
        <v>60</v>
      </c>
      <c r="D185" s="13">
        <f>SUM(D186:D187)</f>
        <v>0</v>
      </c>
      <c r="E185" s="13">
        <f t="shared" ref="E185:J185" si="91">SUM(E186:E187)</f>
        <v>0</v>
      </c>
      <c r="F185" s="18">
        <f t="shared" si="91"/>
        <v>169.04599999999999</v>
      </c>
      <c r="G185" s="18">
        <f t="shared" si="91"/>
        <v>38</v>
      </c>
      <c r="H185" s="18">
        <f t="shared" si="91"/>
        <v>70</v>
      </c>
      <c r="I185" s="18">
        <f t="shared" si="91"/>
        <v>0</v>
      </c>
      <c r="J185" s="13">
        <f t="shared" si="91"/>
        <v>0</v>
      </c>
    </row>
    <row r="186" spans="1:11" ht="19.149999999999999" customHeight="1">
      <c r="A186" s="38"/>
      <c r="B186" s="55"/>
      <c r="C186" s="1" t="s">
        <v>61</v>
      </c>
      <c r="D186" s="13">
        <v>0</v>
      </c>
      <c r="E186" s="13">
        <v>0</v>
      </c>
      <c r="F186" s="18">
        <v>169.04599999999999</v>
      </c>
      <c r="G186" s="18">
        <v>38</v>
      </c>
      <c r="H186" s="18">
        <v>70</v>
      </c>
      <c r="I186" s="18">
        <v>0</v>
      </c>
      <c r="J186" s="13">
        <v>0</v>
      </c>
    </row>
    <row r="187" spans="1:11" ht="19.149999999999999" customHeight="1">
      <c r="A187" s="39"/>
      <c r="B187" s="55"/>
      <c r="C187" s="1" t="s">
        <v>62</v>
      </c>
      <c r="D187" s="13"/>
      <c r="E187" s="13"/>
      <c r="F187" s="18"/>
      <c r="G187" s="18"/>
      <c r="H187" s="18"/>
      <c r="I187" s="18"/>
      <c r="J187" s="13"/>
    </row>
    <row r="188" spans="1:11" ht="19.899999999999999" customHeight="1">
      <c r="A188" s="40" t="s">
        <v>94</v>
      </c>
      <c r="B188" s="40" t="s">
        <v>140</v>
      </c>
      <c r="C188" s="1" t="s">
        <v>60</v>
      </c>
      <c r="D188" s="13">
        <f>SUM(D189:D190)</f>
        <v>1328.134</v>
      </c>
      <c r="E188" s="13">
        <f t="shared" ref="E188" si="92">SUM(E189:E190)</f>
        <v>761.1</v>
      </c>
      <c r="F188" s="18">
        <f t="shared" ref="F188" si="93">SUM(F189:F190)</f>
        <v>761.1</v>
      </c>
      <c r="G188" s="18">
        <f t="shared" ref="G188" si="94">SUM(G189:G190)</f>
        <v>778.8420000000001</v>
      </c>
      <c r="H188" s="18">
        <f t="shared" ref="H188" si="95">SUM(H189:H190)</f>
        <v>750.76</v>
      </c>
      <c r="I188" s="18">
        <f>SUM(I189:I191)</f>
        <v>1006.274</v>
      </c>
      <c r="J188" s="13">
        <f t="shared" ref="J188" si="96">SUM(J189:J190)</f>
        <v>0</v>
      </c>
      <c r="K188" s="26"/>
    </row>
    <row r="189" spans="1:11" ht="19.899999999999999" customHeight="1">
      <c r="A189" s="41"/>
      <c r="B189" s="41"/>
      <c r="C189" s="1" t="s">
        <v>61</v>
      </c>
      <c r="D189" s="13">
        <v>1328.134</v>
      </c>
      <c r="E189" s="13">
        <v>761.1</v>
      </c>
      <c r="F189" s="18">
        <v>761.1</v>
      </c>
      <c r="G189" s="18">
        <v>253.7</v>
      </c>
      <c r="H189" s="18">
        <v>393.74900000000002</v>
      </c>
      <c r="I189" s="18">
        <v>482.94400000000002</v>
      </c>
      <c r="J189" s="13">
        <v>0</v>
      </c>
    </row>
    <row r="190" spans="1:11" s="21" customFormat="1" ht="15.75" customHeight="1">
      <c r="A190" s="41"/>
      <c r="B190" s="41"/>
      <c r="C190" s="22" t="s">
        <v>62</v>
      </c>
      <c r="D190" s="18">
        <v>0</v>
      </c>
      <c r="E190" s="18">
        <v>0</v>
      </c>
      <c r="F190" s="18">
        <v>0</v>
      </c>
      <c r="G190" s="18">
        <v>525.14200000000005</v>
      </c>
      <c r="H190" s="18">
        <v>357.01100000000002</v>
      </c>
      <c r="I190" s="18">
        <v>326.77100000000002</v>
      </c>
      <c r="J190" s="18">
        <v>0</v>
      </c>
    </row>
    <row r="191" spans="1:11" s="21" customFormat="1" ht="32.450000000000003" customHeight="1">
      <c r="A191" s="41"/>
      <c r="B191" s="42"/>
      <c r="C191" s="22" t="s">
        <v>135</v>
      </c>
      <c r="D191" s="18">
        <v>0</v>
      </c>
      <c r="E191" s="18">
        <v>0</v>
      </c>
      <c r="F191" s="18">
        <v>0</v>
      </c>
      <c r="G191" s="18">
        <v>198.994</v>
      </c>
      <c r="H191" s="18">
        <v>310.19799999999998</v>
      </c>
      <c r="I191" s="18">
        <v>196.559</v>
      </c>
      <c r="J191" s="18">
        <v>0</v>
      </c>
    </row>
    <row r="192" spans="1:11" ht="19.899999999999999" customHeight="1">
      <c r="A192" s="41"/>
      <c r="B192" s="40" t="s">
        <v>41</v>
      </c>
      <c r="C192" s="1" t="s">
        <v>60</v>
      </c>
      <c r="D192" s="13">
        <f>SUM(D193:D195)</f>
        <v>240</v>
      </c>
      <c r="E192" s="13">
        <f t="shared" ref="E192:J192" si="97">SUM(E193:E195)</f>
        <v>461.7</v>
      </c>
      <c r="F192" s="13">
        <f t="shared" si="97"/>
        <v>608.58500000000004</v>
      </c>
      <c r="G192" s="13">
        <f t="shared" si="97"/>
        <v>0</v>
      </c>
      <c r="H192" s="13">
        <f t="shared" si="97"/>
        <v>0</v>
      </c>
      <c r="I192" s="13">
        <f t="shared" si="97"/>
        <v>0</v>
      </c>
      <c r="J192" s="13">
        <f t="shared" si="97"/>
        <v>0</v>
      </c>
    </row>
    <row r="193" spans="1:10" ht="19.899999999999999" customHeight="1">
      <c r="A193" s="41"/>
      <c r="B193" s="41"/>
      <c r="C193" s="1" t="s">
        <v>61</v>
      </c>
      <c r="D193" s="13"/>
      <c r="E193" s="13"/>
      <c r="F193" s="18"/>
      <c r="G193" s="18"/>
      <c r="H193" s="18"/>
      <c r="I193" s="18"/>
      <c r="J193" s="13"/>
    </row>
    <row r="194" spans="1:10" ht="19.899999999999999" customHeight="1">
      <c r="A194" s="41"/>
      <c r="B194" s="41"/>
      <c r="C194" s="1" t="s">
        <v>62</v>
      </c>
      <c r="D194" s="13">
        <v>0</v>
      </c>
      <c r="E194" s="13">
        <v>0</v>
      </c>
      <c r="F194" s="18">
        <v>0</v>
      </c>
      <c r="G194" s="18">
        <v>0</v>
      </c>
      <c r="H194" s="18">
        <v>0</v>
      </c>
      <c r="I194" s="18">
        <v>0</v>
      </c>
      <c r="J194" s="13">
        <v>0</v>
      </c>
    </row>
    <row r="195" spans="1:10" s="21" customFormat="1" ht="19.899999999999999" customHeight="1">
      <c r="A195" s="41"/>
      <c r="B195" s="42"/>
      <c r="C195" s="22" t="s">
        <v>135</v>
      </c>
      <c r="D195" s="18">
        <v>240</v>
      </c>
      <c r="E195" s="18">
        <v>461.7</v>
      </c>
      <c r="F195" s="18">
        <v>608.58500000000004</v>
      </c>
      <c r="G195" s="18">
        <v>0</v>
      </c>
      <c r="H195" s="18">
        <v>0</v>
      </c>
      <c r="I195" s="18">
        <v>0</v>
      </c>
      <c r="J195" s="18">
        <v>0</v>
      </c>
    </row>
    <row r="196" spans="1:10" ht="30" customHeight="1">
      <c r="A196" s="41"/>
      <c r="B196" s="66" t="s">
        <v>42</v>
      </c>
      <c r="C196" s="1" t="s">
        <v>60</v>
      </c>
      <c r="D196" s="13">
        <f>SUM(D197:D198)</f>
        <v>770.94</v>
      </c>
      <c r="E196" s="13">
        <f t="shared" ref="E196" si="98">SUM(E197:E198)</f>
        <v>745.92499999999995</v>
      </c>
      <c r="F196" s="18">
        <f t="shared" ref="F196" si="99">SUM(F197:F198)</f>
        <v>885.61400000000003</v>
      </c>
      <c r="G196" s="18">
        <f t="shared" ref="G196" si="100">SUM(G197:G198)</f>
        <v>0</v>
      </c>
      <c r="H196" s="18">
        <f t="shared" ref="H196" si="101">SUM(H197:H198)</f>
        <v>0</v>
      </c>
      <c r="I196" s="18">
        <f t="shared" ref="I196" si="102">SUM(I197:I198)</f>
        <v>0</v>
      </c>
      <c r="J196" s="13">
        <f t="shared" ref="J196" si="103">SUM(J197:J198)</f>
        <v>0</v>
      </c>
    </row>
    <row r="197" spans="1:10" ht="30" customHeight="1">
      <c r="A197" s="41"/>
      <c r="B197" s="66"/>
      <c r="C197" s="1" t="s">
        <v>61</v>
      </c>
      <c r="D197" s="13"/>
      <c r="E197" s="13"/>
      <c r="F197" s="18"/>
      <c r="G197" s="18"/>
      <c r="H197" s="18"/>
      <c r="I197" s="18"/>
      <c r="J197" s="13"/>
    </row>
    <row r="198" spans="1:10" ht="30" customHeight="1">
      <c r="A198" s="42"/>
      <c r="B198" s="66"/>
      <c r="C198" s="1" t="s">
        <v>62</v>
      </c>
      <c r="D198" s="13">
        <v>770.94</v>
      </c>
      <c r="E198" s="13">
        <v>745.92499999999995</v>
      </c>
      <c r="F198" s="18">
        <v>885.61400000000003</v>
      </c>
      <c r="G198" s="18">
        <v>0</v>
      </c>
      <c r="H198" s="18">
        <v>0</v>
      </c>
      <c r="I198" s="18">
        <v>0</v>
      </c>
      <c r="J198" s="13">
        <v>0</v>
      </c>
    </row>
    <row r="199" spans="1:10">
      <c r="A199" s="40" t="s">
        <v>95</v>
      </c>
      <c r="B199" s="66" t="s">
        <v>43</v>
      </c>
      <c r="C199" s="11" t="s">
        <v>60</v>
      </c>
      <c r="D199" s="14">
        <f>SUM(D200:D201)</f>
        <v>19814.099999999999</v>
      </c>
      <c r="E199" s="14">
        <f t="shared" ref="E199" si="104">SUM(E200:E201)</f>
        <v>19109.900000000001</v>
      </c>
      <c r="F199" s="18">
        <f t="shared" ref="F199" si="105">SUM(F200:F201)</f>
        <v>14598.934999999999</v>
      </c>
      <c r="G199" s="18">
        <f t="shared" ref="G199" si="106">SUM(G200:G201)</f>
        <v>15189.704</v>
      </c>
      <c r="H199" s="18">
        <f t="shared" ref="H199" si="107">SUM(H200:H201)</f>
        <v>18760.789000000001</v>
      </c>
      <c r="I199" s="18">
        <f t="shared" ref="I199" si="108">SUM(I200:I201)</f>
        <v>18115.205999999998</v>
      </c>
      <c r="J199" s="14">
        <f t="shared" ref="J199" si="109">SUM(J200:J201)</f>
        <v>22213.534</v>
      </c>
    </row>
    <row r="200" spans="1:10">
      <c r="A200" s="41"/>
      <c r="B200" s="66"/>
      <c r="C200" s="11" t="s">
        <v>61</v>
      </c>
      <c r="D200" s="14">
        <v>19814.099999999999</v>
      </c>
      <c r="E200" s="14">
        <v>19109.900000000001</v>
      </c>
      <c r="F200" s="18">
        <v>14598.934999999999</v>
      </c>
      <c r="G200" s="18">
        <v>15189.704</v>
      </c>
      <c r="H200" s="18">
        <v>18760.789000000001</v>
      </c>
      <c r="I200" s="18">
        <f>22213.534-23.668-1504.096-64.1-2506.464</f>
        <v>18115.205999999998</v>
      </c>
      <c r="J200" s="14">
        <v>22213.534</v>
      </c>
    </row>
    <row r="201" spans="1:10" ht="33.75" customHeight="1">
      <c r="A201" s="41"/>
      <c r="B201" s="66"/>
      <c r="C201" s="11" t="s">
        <v>62</v>
      </c>
      <c r="D201" s="14"/>
      <c r="E201" s="14"/>
      <c r="F201" s="18"/>
      <c r="G201" s="18"/>
      <c r="H201" s="18"/>
      <c r="I201" s="18"/>
      <c r="J201" s="14"/>
    </row>
    <row r="202" spans="1:10" ht="19.7" customHeight="1">
      <c r="A202" s="41"/>
      <c r="B202" s="49" t="s">
        <v>139</v>
      </c>
      <c r="C202" s="22" t="s">
        <v>60</v>
      </c>
      <c r="D202" s="18">
        <f>SUM(D203:D204)</f>
        <v>0</v>
      </c>
      <c r="E202" s="18">
        <f t="shared" ref="E202:J202" si="110">SUM(E203:E204)</f>
        <v>0</v>
      </c>
      <c r="F202" s="18">
        <f t="shared" si="110"/>
        <v>0</v>
      </c>
      <c r="G202" s="18">
        <f t="shared" si="110"/>
        <v>363.43</v>
      </c>
      <c r="H202" s="18">
        <f t="shared" si="110"/>
        <v>796.35000000000014</v>
      </c>
      <c r="I202" s="18">
        <f t="shared" si="110"/>
        <v>4074.6600000000003</v>
      </c>
      <c r="J202" s="18">
        <f t="shared" si="110"/>
        <v>0</v>
      </c>
    </row>
    <row r="203" spans="1:10" ht="19.7" customHeight="1">
      <c r="A203" s="41"/>
      <c r="B203" s="50"/>
      <c r="C203" s="22" t="s">
        <v>61</v>
      </c>
      <c r="D203" s="18">
        <v>0</v>
      </c>
      <c r="E203" s="18">
        <v>0</v>
      </c>
      <c r="F203" s="18">
        <v>0</v>
      </c>
      <c r="G203" s="18">
        <v>3.63</v>
      </c>
      <c r="H203" s="18">
        <f>10.815+0.755</f>
        <v>11.57</v>
      </c>
      <c r="I203" s="18">
        <f>15.041+0.641+25.064</f>
        <v>40.746000000000002</v>
      </c>
      <c r="J203" s="18">
        <v>0</v>
      </c>
    </row>
    <row r="204" spans="1:10" ht="25.5" customHeight="1">
      <c r="A204" s="41"/>
      <c r="B204" s="51"/>
      <c r="C204" s="22" t="s">
        <v>62</v>
      </c>
      <c r="D204" s="18">
        <v>0</v>
      </c>
      <c r="E204" s="18">
        <v>0</v>
      </c>
      <c r="F204" s="18">
        <v>0</v>
      </c>
      <c r="G204" s="18">
        <v>359.8</v>
      </c>
      <c r="H204" s="18">
        <f>710.248+74.532</f>
        <v>784.78000000000009</v>
      </c>
      <c r="I204" s="18">
        <f>1489.055+63.459+2481.4</f>
        <v>4033.9140000000002</v>
      </c>
      <c r="J204" s="18">
        <v>0</v>
      </c>
    </row>
    <row r="205" spans="1:10" ht="25.5" customHeight="1">
      <c r="A205" s="41"/>
      <c r="B205" s="40" t="s">
        <v>133</v>
      </c>
      <c r="C205" s="11" t="s">
        <v>60</v>
      </c>
      <c r="D205" s="14">
        <f>SUM(D206:D207)</f>
        <v>0</v>
      </c>
      <c r="E205" s="14">
        <f t="shared" ref="E205:J205" si="111">SUM(E206:E207)</f>
        <v>0</v>
      </c>
      <c r="F205" s="18">
        <f t="shared" si="111"/>
        <v>0</v>
      </c>
      <c r="G205" s="18">
        <f t="shared" si="111"/>
        <v>0</v>
      </c>
      <c r="H205" s="18">
        <f t="shared" si="111"/>
        <v>0</v>
      </c>
      <c r="I205" s="18">
        <f t="shared" si="111"/>
        <v>8.5500000000000007</v>
      </c>
      <c r="J205" s="14">
        <f t="shared" si="111"/>
        <v>0</v>
      </c>
    </row>
    <row r="206" spans="1:10" ht="17.45" customHeight="1">
      <c r="A206" s="41"/>
      <c r="B206" s="41"/>
      <c r="C206" s="11" t="s">
        <v>61</v>
      </c>
      <c r="D206" s="14"/>
      <c r="E206" s="14"/>
      <c r="F206" s="18"/>
      <c r="G206" s="18"/>
      <c r="H206" s="18"/>
      <c r="I206" s="18">
        <v>4.2750000000000004</v>
      </c>
      <c r="J206" s="14"/>
    </row>
    <row r="207" spans="1:10" ht="18" customHeight="1">
      <c r="A207" s="42"/>
      <c r="B207" s="42"/>
      <c r="C207" s="11" t="s">
        <v>62</v>
      </c>
      <c r="D207" s="14"/>
      <c r="E207" s="14"/>
      <c r="F207" s="18"/>
      <c r="G207" s="18"/>
      <c r="H207" s="18"/>
      <c r="I207" s="18">
        <v>4.2750000000000004</v>
      </c>
      <c r="J207" s="14"/>
    </row>
    <row r="208" spans="1:10">
      <c r="A208" s="37" t="s">
        <v>96</v>
      </c>
      <c r="B208" s="37" t="s">
        <v>44</v>
      </c>
      <c r="C208" s="1" t="s">
        <v>60</v>
      </c>
      <c r="D208" s="13">
        <f>SUM(D209:D210)</f>
        <v>0</v>
      </c>
      <c r="E208" s="13">
        <f t="shared" ref="E208" si="112">SUM(E209:E210)</f>
        <v>1045.961</v>
      </c>
      <c r="F208" s="18">
        <f t="shared" ref="F208" si="113">SUM(F209:F210)</f>
        <v>0</v>
      </c>
      <c r="G208" s="18">
        <f t="shared" ref="G208" si="114">SUM(G209:G210)</f>
        <v>0</v>
      </c>
      <c r="H208" s="18">
        <f t="shared" ref="H208" si="115">SUM(H209:H210)</f>
        <v>0</v>
      </c>
      <c r="I208" s="18">
        <f t="shared" ref="I208" si="116">SUM(I209:I210)</f>
        <v>0</v>
      </c>
      <c r="J208" s="13">
        <f t="shared" ref="J208" si="117">SUM(J209:J210)</f>
        <v>0</v>
      </c>
    </row>
    <row r="209" spans="1:10">
      <c r="A209" s="38"/>
      <c r="B209" s="38"/>
      <c r="C209" s="1" t="s">
        <v>61</v>
      </c>
      <c r="D209" s="13">
        <v>0</v>
      </c>
      <c r="E209" s="13">
        <v>1045.961</v>
      </c>
      <c r="F209" s="18">
        <v>0</v>
      </c>
      <c r="G209" s="18">
        <v>0</v>
      </c>
      <c r="H209" s="18">
        <v>0</v>
      </c>
      <c r="I209" s="18">
        <v>0</v>
      </c>
      <c r="J209" s="13">
        <v>0</v>
      </c>
    </row>
    <row r="210" spans="1:10" ht="18" customHeight="1">
      <c r="A210" s="39"/>
      <c r="B210" s="39"/>
      <c r="C210" s="1" t="s">
        <v>62</v>
      </c>
      <c r="D210" s="13"/>
      <c r="E210" s="13"/>
      <c r="F210" s="18"/>
      <c r="G210" s="18"/>
      <c r="H210" s="18"/>
      <c r="I210" s="18"/>
      <c r="J210" s="13"/>
    </row>
    <row r="211" spans="1:10">
      <c r="A211" s="37" t="s">
        <v>97</v>
      </c>
      <c r="B211" s="37" t="s">
        <v>45</v>
      </c>
      <c r="C211" s="1" t="s">
        <v>60</v>
      </c>
      <c r="D211" s="13">
        <f>SUM(D212:D213)</f>
        <v>115</v>
      </c>
      <c r="E211" s="13">
        <f t="shared" ref="E211" si="118">SUM(E212:E213)</f>
        <v>75</v>
      </c>
      <c r="F211" s="18">
        <f t="shared" ref="F211" si="119">SUM(F212:F213)</f>
        <v>125</v>
      </c>
      <c r="G211" s="18">
        <f t="shared" ref="G211" si="120">SUM(G212:G213)</f>
        <v>300</v>
      </c>
      <c r="H211" s="18">
        <f t="shared" ref="H211" si="121">SUM(H212:H213)</f>
        <v>120</v>
      </c>
      <c r="I211" s="18">
        <f t="shared" ref="I211" si="122">SUM(I212:I213)</f>
        <v>0</v>
      </c>
      <c r="J211" s="13">
        <f t="shared" ref="J211" si="123">SUM(J212:J213)</f>
        <v>0</v>
      </c>
    </row>
    <row r="212" spans="1:10">
      <c r="A212" s="38"/>
      <c r="B212" s="38"/>
      <c r="C212" s="1" t="s">
        <v>61</v>
      </c>
      <c r="D212" s="13">
        <v>115</v>
      </c>
      <c r="E212" s="13">
        <v>75</v>
      </c>
      <c r="F212" s="18">
        <f>140-15</f>
        <v>125</v>
      </c>
      <c r="G212" s="18">
        <v>300</v>
      </c>
      <c r="H212" s="18">
        <v>120</v>
      </c>
      <c r="I212" s="18">
        <v>0</v>
      </c>
      <c r="J212" s="13">
        <v>0</v>
      </c>
    </row>
    <row r="213" spans="1:10" ht="17.25" customHeight="1">
      <c r="A213" s="39"/>
      <c r="B213" s="39"/>
      <c r="C213" s="1" t="s">
        <v>62</v>
      </c>
      <c r="D213" s="13"/>
      <c r="E213" s="13"/>
      <c r="F213" s="18"/>
      <c r="G213" s="18"/>
      <c r="H213" s="18"/>
      <c r="I213" s="18"/>
      <c r="J213" s="13"/>
    </row>
    <row r="214" spans="1:10">
      <c r="A214" s="37" t="s">
        <v>98</v>
      </c>
      <c r="B214" s="55" t="s">
        <v>147</v>
      </c>
      <c r="C214" s="1" t="s">
        <v>60</v>
      </c>
      <c r="D214" s="13">
        <f>SUM(D215:D216)</f>
        <v>179.16</v>
      </c>
      <c r="E214" s="13">
        <f t="shared" ref="E214" si="124">SUM(E215:E216)</f>
        <v>0</v>
      </c>
      <c r="F214" s="18">
        <f t="shared" ref="F214" si="125">SUM(F215:F216)</f>
        <v>111.669</v>
      </c>
      <c r="G214" s="18">
        <f t="shared" ref="G214" si="126">SUM(G215:G216)</f>
        <v>147.81399999999999</v>
      </c>
      <c r="H214" s="18">
        <f t="shared" ref="H214" si="127">SUM(H215:H216)</f>
        <v>0</v>
      </c>
      <c r="I214" s="18">
        <f t="shared" ref="I214" si="128">SUM(I215:I216)</f>
        <v>0</v>
      </c>
      <c r="J214" s="13">
        <f t="shared" ref="J214" si="129">SUM(J215:J216)</f>
        <v>0</v>
      </c>
    </row>
    <row r="215" spans="1:10">
      <c r="A215" s="38"/>
      <c r="B215" s="55"/>
      <c r="C215" s="1" t="s">
        <v>61</v>
      </c>
      <c r="D215" s="13">
        <v>179.16</v>
      </c>
      <c r="E215" s="13">
        <v>0</v>
      </c>
      <c r="F215" s="18">
        <v>111.669</v>
      </c>
      <c r="G215" s="18">
        <f>100+60-12.19+0.004</f>
        <v>147.81399999999999</v>
      </c>
      <c r="H215" s="18">
        <v>0</v>
      </c>
      <c r="I215" s="18">
        <v>0</v>
      </c>
      <c r="J215" s="13">
        <v>0</v>
      </c>
    </row>
    <row r="216" spans="1:10" ht="17.25" customHeight="1">
      <c r="A216" s="39"/>
      <c r="B216" s="55"/>
      <c r="C216" s="1" t="s">
        <v>62</v>
      </c>
      <c r="D216" s="13"/>
      <c r="E216" s="13"/>
      <c r="F216" s="18"/>
      <c r="G216" s="18"/>
      <c r="H216" s="18"/>
      <c r="I216" s="18"/>
      <c r="J216" s="13"/>
    </row>
    <row r="217" spans="1:10" ht="29.45" customHeight="1">
      <c r="A217" s="67" t="s">
        <v>99</v>
      </c>
      <c r="B217" s="37" t="s">
        <v>46</v>
      </c>
      <c r="C217" s="1" t="s">
        <v>60</v>
      </c>
      <c r="D217" s="13">
        <f>SUM(D218:D219)</f>
        <v>290.54000000000002</v>
      </c>
      <c r="E217" s="13">
        <f t="shared" ref="E217" si="130">SUM(E218:E219)</f>
        <v>0</v>
      </c>
      <c r="F217" s="18">
        <f t="shared" ref="F217" si="131">SUM(F218:F219)</f>
        <v>0</v>
      </c>
      <c r="G217" s="18">
        <f t="shared" ref="G217" si="132">SUM(G218:G219)</f>
        <v>0</v>
      </c>
      <c r="H217" s="18">
        <f t="shared" ref="H217" si="133">SUM(H218:H219)</f>
        <v>0</v>
      </c>
      <c r="I217" s="18">
        <f t="shared" ref="I217" si="134">SUM(I218:I219)</f>
        <v>0</v>
      </c>
      <c r="J217" s="13">
        <f t="shared" ref="J217" si="135">SUM(J218:J219)</f>
        <v>0</v>
      </c>
    </row>
    <row r="218" spans="1:10" ht="29.45" customHeight="1">
      <c r="A218" s="68"/>
      <c r="B218" s="38"/>
      <c r="C218" s="1" t="s">
        <v>61</v>
      </c>
      <c r="D218" s="13">
        <v>290.54000000000002</v>
      </c>
      <c r="E218" s="13">
        <v>0</v>
      </c>
      <c r="F218" s="18">
        <v>0</v>
      </c>
      <c r="G218" s="18">
        <v>0</v>
      </c>
      <c r="H218" s="18">
        <v>0</v>
      </c>
      <c r="I218" s="18">
        <v>0</v>
      </c>
      <c r="J218" s="13">
        <v>0</v>
      </c>
    </row>
    <row r="219" spans="1:10" ht="29.45" customHeight="1">
      <c r="A219" s="68"/>
      <c r="B219" s="39"/>
      <c r="C219" s="1" t="s">
        <v>62</v>
      </c>
      <c r="D219" s="13"/>
      <c r="E219" s="13"/>
      <c r="F219" s="18"/>
      <c r="G219" s="18"/>
      <c r="H219" s="18"/>
      <c r="I219" s="18"/>
      <c r="J219" s="13"/>
    </row>
    <row r="220" spans="1:10" ht="30" customHeight="1">
      <c r="A220" s="68"/>
      <c r="B220" s="37" t="s">
        <v>47</v>
      </c>
      <c r="C220" s="1" t="s">
        <v>60</v>
      </c>
      <c r="D220" s="13">
        <f>SUM(D221:D222)</f>
        <v>1335.5</v>
      </c>
      <c r="E220" s="13">
        <f t="shared" ref="E220" si="136">SUM(E221:E222)</f>
        <v>0</v>
      </c>
      <c r="F220" s="18">
        <f t="shared" ref="F220" si="137">SUM(F221:F222)</f>
        <v>0</v>
      </c>
      <c r="G220" s="18">
        <f t="shared" ref="G220" si="138">SUM(G221:G222)</f>
        <v>0</v>
      </c>
      <c r="H220" s="18">
        <f t="shared" ref="H220" si="139">SUM(H221:H222)</f>
        <v>0</v>
      </c>
      <c r="I220" s="18">
        <f t="shared" ref="I220" si="140">SUM(I221:I222)</f>
        <v>0</v>
      </c>
      <c r="J220" s="13">
        <f t="shared" ref="J220" si="141">SUM(J221:J222)</f>
        <v>0</v>
      </c>
    </row>
    <row r="221" spans="1:10" ht="25.15" customHeight="1">
      <c r="A221" s="68"/>
      <c r="B221" s="38"/>
      <c r="C221" s="1" t="s">
        <v>61</v>
      </c>
      <c r="D221" s="13"/>
      <c r="E221" s="13"/>
      <c r="F221" s="18"/>
      <c r="G221" s="18"/>
      <c r="H221" s="18"/>
      <c r="I221" s="18"/>
      <c r="J221" s="13"/>
    </row>
    <row r="222" spans="1:10" ht="25.15" customHeight="1">
      <c r="A222" s="69"/>
      <c r="B222" s="39"/>
      <c r="C222" s="1" t="s">
        <v>62</v>
      </c>
      <c r="D222" s="13">
        <v>1335.5</v>
      </c>
      <c r="E222" s="13">
        <v>0</v>
      </c>
      <c r="F222" s="18">
        <v>0</v>
      </c>
      <c r="G222" s="18">
        <v>0</v>
      </c>
      <c r="H222" s="18">
        <v>0</v>
      </c>
      <c r="I222" s="18">
        <v>0</v>
      </c>
      <c r="J222" s="13">
        <v>0</v>
      </c>
    </row>
    <row r="223" spans="1:10">
      <c r="A223" s="70" t="s">
        <v>116</v>
      </c>
      <c r="B223" s="37" t="s">
        <v>112</v>
      </c>
      <c r="C223" s="1" t="s">
        <v>60</v>
      </c>
      <c r="D223" s="13">
        <f>SUM(D224:D225)</f>
        <v>0</v>
      </c>
      <c r="E223" s="13">
        <f t="shared" ref="E223:J223" si="142">SUM(E224:E225)</f>
        <v>0</v>
      </c>
      <c r="F223" s="18">
        <f t="shared" si="142"/>
        <v>66.085000000000008</v>
      </c>
      <c r="G223" s="18">
        <f t="shared" si="142"/>
        <v>10</v>
      </c>
      <c r="H223" s="18">
        <f t="shared" si="142"/>
        <v>0</v>
      </c>
      <c r="I223" s="18">
        <f t="shared" si="142"/>
        <v>0</v>
      </c>
      <c r="J223" s="13">
        <f t="shared" si="142"/>
        <v>0</v>
      </c>
    </row>
    <row r="224" spans="1:10">
      <c r="A224" s="71"/>
      <c r="B224" s="38"/>
      <c r="C224" s="1" t="s">
        <v>61</v>
      </c>
      <c r="D224" s="13">
        <v>0</v>
      </c>
      <c r="E224" s="13">
        <v>0</v>
      </c>
      <c r="F224" s="18">
        <f>11+55.085</f>
        <v>66.085000000000008</v>
      </c>
      <c r="G224" s="18">
        <v>10</v>
      </c>
      <c r="H224" s="18">
        <v>0</v>
      </c>
      <c r="I224" s="18">
        <v>0</v>
      </c>
      <c r="J224" s="13">
        <v>0</v>
      </c>
    </row>
    <row r="225" spans="1:10" ht="30">
      <c r="A225" s="72"/>
      <c r="B225" s="39"/>
      <c r="C225" s="1" t="s">
        <v>62</v>
      </c>
      <c r="D225" s="13"/>
      <c r="E225" s="13"/>
      <c r="F225" s="18"/>
      <c r="G225" s="18"/>
      <c r="H225" s="18"/>
      <c r="I225" s="18"/>
      <c r="J225" s="13"/>
    </row>
    <row r="226" spans="1:10">
      <c r="A226" s="70" t="s">
        <v>117</v>
      </c>
      <c r="B226" s="37" t="s">
        <v>141</v>
      </c>
      <c r="C226" s="1" t="s">
        <v>60</v>
      </c>
      <c r="D226" s="13">
        <f>SUM(D227:D228)</f>
        <v>0</v>
      </c>
      <c r="E226" s="13">
        <f t="shared" ref="E226:J226" si="143">SUM(E227:E228)</f>
        <v>0</v>
      </c>
      <c r="F226" s="18">
        <f t="shared" si="143"/>
        <v>0</v>
      </c>
      <c r="G226" s="18">
        <f t="shared" si="143"/>
        <v>333.334</v>
      </c>
      <c r="H226" s="18">
        <f t="shared" si="143"/>
        <v>0</v>
      </c>
      <c r="I226" s="18">
        <f t="shared" si="143"/>
        <v>666.66700000000003</v>
      </c>
      <c r="J226" s="13">
        <f t="shared" si="143"/>
        <v>0</v>
      </c>
    </row>
    <row r="227" spans="1:10">
      <c r="A227" s="71"/>
      <c r="B227" s="38"/>
      <c r="C227" s="1" t="s">
        <v>61</v>
      </c>
      <c r="D227" s="13">
        <v>0</v>
      </c>
      <c r="E227" s="13">
        <v>0</v>
      </c>
      <c r="F227" s="18">
        <v>0</v>
      </c>
      <c r="G227" s="18">
        <f>33.3+0.034</f>
        <v>33.333999999999996</v>
      </c>
      <c r="H227" s="18">
        <v>0</v>
      </c>
      <c r="I227" s="18">
        <v>66.667000000000002</v>
      </c>
      <c r="J227" s="13">
        <v>0</v>
      </c>
    </row>
    <row r="228" spans="1:10" ht="45" customHeight="1">
      <c r="A228" s="72"/>
      <c r="B228" s="39"/>
      <c r="C228" s="1" t="s">
        <v>62</v>
      </c>
      <c r="D228" s="13">
        <v>0</v>
      </c>
      <c r="E228" s="13">
        <v>0</v>
      </c>
      <c r="F228" s="18">
        <v>0</v>
      </c>
      <c r="G228" s="18">
        <v>300</v>
      </c>
      <c r="H228" s="18">
        <v>0</v>
      </c>
      <c r="I228" s="18">
        <v>600</v>
      </c>
      <c r="J228" s="13">
        <v>0</v>
      </c>
    </row>
    <row r="229" spans="1:10" ht="19.899999999999999" customHeight="1">
      <c r="A229" s="70" t="s">
        <v>120</v>
      </c>
      <c r="B229" s="37" t="s">
        <v>121</v>
      </c>
      <c r="C229" s="1" t="s">
        <v>60</v>
      </c>
      <c r="D229" s="13">
        <f>SUM(D230:D231)</f>
        <v>0</v>
      </c>
      <c r="E229" s="13">
        <f t="shared" ref="E229:J229" si="144">SUM(E230:E231)</f>
        <v>0</v>
      </c>
      <c r="F229" s="18">
        <f t="shared" si="144"/>
        <v>0</v>
      </c>
      <c r="G229" s="18">
        <f t="shared" si="144"/>
        <v>0</v>
      </c>
      <c r="H229" s="18">
        <f t="shared" si="144"/>
        <v>0</v>
      </c>
      <c r="I229" s="18">
        <f t="shared" si="144"/>
        <v>0</v>
      </c>
      <c r="J229" s="13">
        <f t="shared" si="144"/>
        <v>0</v>
      </c>
    </row>
    <row r="230" spans="1:10" ht="19.899999999999999" customHeight="1">
      <c r="A230" s="71"/>
      <c r="B230" s="38"/>
      <c r="C230" s="1" t="s">
        <v>61</v>
      </c>
      <c r="D230" s="13">
        <v>0</v>
      </c>
      <c r="E230" s="13">
        <v>0</v>
      </c>
      <c r="F230" s="18">
        <v>0</v>
      </c>
      <c r="G230" s="18">
        <v>0</v>
      </c>
      <c r="H230" s="18">
        <v>0</v>
      </c>
      <c r="I230" s="18">
        <v>0</v>
      </c>
      <c r="J230" s="13">
        <v>0</v>
      </c>
    </row>
    <row r="231" spans="1:10" ht="25.5" customHeight="1">
      <c r="A231" s="72"/>
      <c r="B231" s="39"/>
      <c r="C231" s="1" t="s">
        <v>62</v>
      </c>
      <c r="D231" s="13">
        <v>0</v>
      </c>
      <c r="E231" s="13">
        <v>0</v>
      </c>
      <c r="F231" s="18">
        <v>0</v>
      </c>
      <c r="G231" s="18">
        <v>0</v>
      </c>
      <c r="H231" s="18">
        <v>0</v>
      </c>
      <c r="I231" s="18">
        <v>0</v>
      </c>
      <c r="J231" s="13">
        <v>0</v>
      </c>
    </row>
    <row r="232" spans="1:10" s="21" customFormat="1">
      <c r="A232" s="56" t="s">
        <v>48</v>
      </c>
      <c r="B232" s="59" t="s">
        <v>49</v>
      </c>
      <c r="C232" s="28" t="s">
        <v>60</v>
      </c>
      <c r="D232" s="19">
        <f>SUM(D233:D234)</f>
        <v>1415.6</v>
      </c>
      <c r="E232" s="19">
        <f t="shared" ref="E232" si="145">SUM(E233:E234)</f>
        <v>2186.5190000000002</v>
      </c>
      <c r="F232" s="19">
        <f t="shared" ref="F232" si="146">SUM(F233:F234)</f>
        <v>1687.818</v>
      </c>
      <c r="G232" s="19">
        <f>SUM(G233:G234)</f>
        <v>1917.6179999999999</v>
      </c>
      <c r="H232" s="19">
        <f>SUM(H233:H234)</f>
        <v>1798.085</v>
      </c>
      <c r="I232" s="19">
        <f>SUM(I233:I234)</f>
        <v>1500.1499999999999</v>
      </c>
      <c r="J232" s="19">
        <f t="shared" ref="J232" si="147">SUM(J233:J234)</f>
        <v>1143.5</v>
      </c>
    </row>
    <row r="233" spans="1:10" s="21" customFormat="1">
      <c r="A233" s="57"/>
      <c r="B233" s="59"/>
      <c r="C233" s="28" t="s">
        <v>61</v>
      </c>
      <c r="D233" s="19">
        <f>D236+D239+D245</f>
        <v>707.8</v>
      </c>
      <c r="E233" s="19">
        <f t="shared" ref="E233:J233" si="148">E236+E239+E245</f>
        <v>1334.7190000000001</v>
      </c>
      <c r="F233" s="19">
        <f t="shared" si="148"/>
        <v>958.81799999999998</v>
      </c>
      <c r="G233" s="19">
        <f>G236+G239+G245</f>
        <v>1199.4179999999999</v>
      </c>
      <c r="H233" s="19">
        <f>H236+H239+H245</f>
        <v>1134.9849999999999</v>
      </c>
      <c r="I233" s="19">
        <f>I236+I239+I245+I242</f>
        <v>814.05</v>
      </c>
      <c r="J233" s="19">
        <f t="shared" si="148"/>
        <v>457.4</v>
      </c>
    </row>
    <row r="234" spans="1:10" s="21" customFormat="1" ht="30">
      <c r="A234" s="58"/>
      <c r="B234" s="59"/>
      <c r="C234" s="28" t="s">
        <v>62</v>
      </c>
      <c r="D234" s="19">
        <f>D237+D240+D246</f>
        <v>707.8</v>
      </c>
      <c r="E234" s="19">
        <f t="shared" ref="E234:J234" si="149">E237+E240+E246</f>
        <v>851.8</v>
      </c>
      <c r="F234" s="19">
        <f t="shared" si="149"/>
        <v>729</v>
      </c>
      <c r="G234" s="19">
        <f>G237+G240+G246</f>
        <v>718.2</v>
      </c>
      <c r="H234" s="19">
        <f t="shared" si="149"/>
        <v>663.1</v>
      </c>
      <c r="I234" s="19">
        <f t="shared" si="149"/>
        <v>686.09999999999991</v>
      </c>
      <c r="J234" s="19">
        <f t="shared" si="149"/>
        <v>686.09999999999991</v>
      </c>
    </row>
    <row r="235" spans="1:10" ht="13.9" customHeight="1">
      <c r="A235" s="37" t="s">
        <v>100</v>
      </c>
      <c r="B235" s="37" t="s">
        <v>142</v>
      </c>
      <c r="C235" s="1" t="s">
        <v>60</v>
      </c>
      <c r="D235" s="13">
        <f>SUM(D236:D237)</f>
        <v>350.02600000000001</v>
      </c>
      <c r="E235" s="13">
        <f t="shared" ref="E235" si="150">SUM(E236:E237)</f>
        <v>660.71799999999996</v>
      </c>
      <c r="F235" s="18">
        <f t="shared" ref="F235" si="151">SUM(F236:F237)</f>
        <v>862.13499999999999</v>
      </c>
      <c r="G235" s="18">
        <f t="shared" ref="G235" si="152">SUM(G236:G237)</f>
        <v>986.77599999999995</v>
      </c>
      <c r="H235" s="18">
        <f>SUM(H236:H237)</f>
        <v>994.65</v>
      </c>
      <c r="I235" s="18">
        <f t="shared" ref="I235" si="153">SUM(I236:I237)</f>
        <v>457.4</v>
      </c>
      <c r="J235" s="13">
        <f t="shared" ref="J235" si="154">SUM(J236:J237)</f>
        <v>457.4</v>
      </c>
    </row>
    <row r="236" spans="1:10">
      <c r="A236" s="38"/>
      <c r="B236" s="38"/>
      <c r="C236" s="1" t="s">
        <v>61</v>
      </c>
      <c r="D236" s="13">
        <v>350.02600000000001</v>
      </c>
      <c r="E236" s="13">
        <v>660.71799999999996</v>
      </c>
      <c r="F236" s="18">
        <v>862.13499999999999</v>
      </c>
      <c r="G236" s="18">
        <v>986.77599999999995</v>
      </c>
      <c r="H236" s="18">
        <f>994.65</f>
        <v>994.65</v>
      </c>
      <c r="I236" s="18">
        <f>468.2-10.8</f>
        <v>457.4</v>
      </c>
      <c r="J236" s="13">
        <f>468.2-10.8</f>
        <v>457.4</v>
      </c>
    </row>
    <row r="237" spans="1:10" ht="18.75" customHeight="1">
      <c r="A237" s="38"/>
      <c r="B237" s="39"/>
      <c r="C237" s="1" t="s">
        <v>62</v>
      </c>
      <c r="D237" s="13"/>
      <c r="E237" s="13"/>
      <c r="F237" s="18"/>
      <c r="G237" s="18"/>
      <c r="H237" s="18"/>
      <c r="I237" s="18"/>
      <c r="J237" s="13"/>
    </row>
    <row r="238" spans="1:10">
      <c r="A238" s="38"/>
      <c r="B238" s="37" t="s">
        <v>143</v>
      </c>
      <c r="C238" s="1" t="s">
        <v>60</v>
      </c>
      <c r="D238" s="13">
        <f>SUM(D239:D240)</f>
        <v>707.8</v>
      </c>
      <c r="E238" s="13">
        <f t="shared" ref="E238" si="155">SUM(E239:E240)</f>
        <v>851.8</v>
      </c>
      <c r="F238" s="18">
        <f t="shared" ref="F238" si="156">SUM(F239:F240)</f>
        <v>729</v>
      </c>
      <c r="G238" s="18">
        <f t="shared" ref="G238" si="157">SUM(G239:G240)</f>
        <v>718.2</v>
      </c>
      <c r="H238" s="18">
        <f t="shared" ref="H238" si="158">SUM(H239:H240)</f>
        <v>663.1</v>
      </c>
      <c r="I238" s="18">
        <f t="shared" ref="I238" si="159">SUM(I239:I240)</f>
        <v>686.09999999999991</v>
      </c>
      <c r="J238" s="13">
        <f t="shared" ref="J238" si="160">SUM(J239:J240)</f>
        <v>686.09999999999991</v>
      </c>
    </row>
    <row r="239" spans="1:10">
      <c r="A239" s="38"/>
      <c r="B239" s="38"/>
      <c r="C239" s="1" t="s">
        <v>61</v>
      </c>
      <c r="D239" s="13"/>
      <c r="E239" s="13"/>
      <c r="F239" s="18"/>
      <c r="G239" s="18"/>
      <c r="H239" s="18"/>
      <c r="I239" s="18"/>
      <c r="J239" s="13"/>
    </row>
    <row r="240" spans="1:10" ht="16.5" customHeight="1">
      <c r="A240" s="38"/>
      <c r="B240" s="39"/>
      <c r="C240" s="1" t="s">
        <v>62</v>
      </c>
      <c r="D240" s="13">
        <v>707.8</v>
      </c>
      <c r="E240" s="13">
        <v>851.8</v>
      </c>
      <c r="F240" s="18">
        <v>729</v>
      </c>
      <c r="G240" s="18">
        <f>715.9-142.4+144.7</f>
        <v>718.2</v>
      </c>
      <c r="H240" s="18">
        <f>663.1</f>
        <v>663.1</v>
      </c>
      <c r="I240" s="18">
        <f>702.3-16.2</f>
        <v>686.09999999999991</v>
      </c>
      <c r="J240" s="13">
        <f>702.3-16.2</f>
        <v>686.09999999999991</v>
      </c>
    </row>
    <row r="241" spans="1:10" ht="16.5" customHeight="1">
      <c r="A241" s="38"/>
      <c r="B241" s="37" t="s">
        <v>134</v>
      </c>
      <c r="C241" s="1" t="s">
        <v>60</v>
      </c>
      <c r="D241" s="13">
        <f>SUM(D242:D243)</f>
        <v>0</v>
      </c>
      <c r="E241" s="13">
        <f t="shared" ref="E241:J241" si="161">SUM(E242:E243)</f>
        <v>0</v>
      </c>
      <c r="F241" s="18">
        <f t="shared" si="161"/>
        <v>0</v>
      </c>
      <c r="G241" s="18">
        <f t="shared" si="161"/>
        <v>0</v>
      </c>
      <c r="H241" s="18">
        <f t="shared" si="161"/>
        <v>0</v>
      </c>
      <c r="I241" s="18">
        <f t="shared" si="161"/>
        <v>200</v>
      </c>
      <c r="J241" s="13">
        <f t="shared" si="161"/>
        <v>0</v>
      </c>
    </row>
    <row r="242" spans="1:10" ht="16.5" customHeight="1">
      <c r="A242" s="38"/>
      <c r="B242" s="38"/>
      <c r="C242" s="1" t="s">
        <v>61</v>
      </c>
      <c r="D242" s="13"/>
      <c r="E242" s="13"/>
      <c r="F242" s="18"/>
      <c r="G242" s="18"/>
      <c r="H242" s="18"/>
      <c r="I242" s="18">
        <v>200</v>
      </c>
      <c r="J242" s="13"/>
    </row>
    <row r="243" spans="1:10" ht="16.5" customHeight="1">
      <c r="A243" s="39"/>
      <c r="B243" s="39"/>
      <c r="C243" s="1" t="s">
        <v>62</v>
      </c>
      <c r="D243" s="13"/>
      <c r="E243" s="13"/>
      <c r="F243" s="18"/>
      <c r="G243" s="18"/>
      <c r="H243" s="18"/>
      <c r="I243" s="18"/>
      <c r="J243" s="13"/>
    </row>
    <row r="244" spans="1:10">
      <c r="A244" s="37" t="s">
        <v>101</v>
      </c>
      <c r="B244" s="37" t="s">
        <v>50</v>
      </c>
      <c r="C244" s="1" t="s">
        <v>60</v>
      </c>
      <c r="D244" s="13">
        <f>SUM(D245:D246)</f>
        <v>357.774</v>
      </c>
      <c r="E244" s="13">
        <f t="shared" ref="E244" si="162">SUM(E245:E246)</f>
        <v>674.00099999999998</v>
      </c>
      <c r="F244" s="18">
        <f t="shared" ref="F244" si="163">SUM(F245:F246)</f>
        <v>96.683000000000007</v>
      </c>
      <c r="G244" s="18">
        <f t="shared" ref="G244" si="164">SUM(G245:G246)</f>
        <v>212.642</v>
      </c>
      <c r="H244" s="18">
        <f t="shared" ref="H244" si="165">SUM(H245:H246)</f>
        <v>140.33500000000001</v>
      </c>
      <c r="I244" s="18">
        <f t="shared" ref="I244" si="166">SUM(I245:I246)</f>
        <v>156.65</v>
      </c>
      <c r="J244" s="13">
        <f t="shared" ref="J244" si="167">SUM(J245:J246)</f>
        <v>0</v>
      </c>
    </row>
    <row r="245" spans="1:10">
      <c r="A245" s="38"/>
      <c r="B245" s="38"/>
      <c r="C245" s="1" t="s">
        <v>61</v>
      </c>
      <c r="D245" s="13">
        <v>357.774</v>
      </c>
      <c r="E245" s="13">
        <v>674.00099999999998</v>
      </c>
      <c r="F245" s="18">
        <v>96.683000000000007</v>
      </c>
      <c r="G245" s="18">
        <v>212.642</v>
      </c>
      <c r="H245" s="18">
        <v>140.33500000000001</v>
      </c>
      <c r="I245" s="18">
        <v>156.65</v>
      </c>
      <c r="J245" s="13">
        <v>0</v>
      </c>
    </row>
    <row r="246" spans="1:10" ht="18" customHeight="1">
      <c r="A246" s="39"/>
      <c r="B246" s="39"/>
      <c r="C246" s="1" t="s">
        <v>62</v>
      </c>
      <c r="D246" s="13"/>
      <c r="E246" s="13"/>
      <c r="F246" s="18"/>
      <c r="G246" s="18"/>
      <c r="H246" s="18"/>
      <c r="I246" s="18"/>
      <c r="J246" s="13"/>
    </row>
    <row r="247" spans="1:10">
      <c r="A247" s="43" t="s">
        <v>51</v>
      </c>
      <c r="B247" s="62" t="s">
        <v>52</v>
      </c>
      <c r="C247" s="29" t="s">
        <v>60</v>
      </c>
      <c r="D247" s="15">
        <f>SUM(D248:D249)</f>
        <v>48.6</v>
      </c>
      <c r="E247" s="15">
        <f t="shared" ref="E247" si="168">SUM(E248:E249)</f>
        <v>45.545000000000002</v>
      </c>
      <c r="F247" s="19">
        <f t="shared" ref="F247" si="169">SUM(F248:F249)</f>
        <v>53.6</v>
      </c>
      <c r="G247" s="19">
        <f t="shared" ref="G247" si="170">SUM(G248:G249)</f>
        <v>17.135999999999999</v>
      </c>
      <c r="H247" s="19">
        <f t="shared" ref="H247" si="171">SUM(H248:H249)</f>
        <v>66</v>
      </c>
      <c r="I247" s="19">
        <f t="shared" ref="I247" si="172">SUM(I248:I249)</f>
        <v>0</v>
      </c>
      <c r="J247" s="15">
        <f t="shared" ref="J247" si="173">SUM(J248:J249)</f>
        <v>0</v>
      </c>
    </row>
    <row r="248" spans="1:10">
      <c r="A248" s="44"/>
      <c r="B248" s="62"/>
      <c r="C248" s="29" t="s">
        <v>61</v>
      </c>
      <c r="D248" s="15">
        <f>D251+D254</f>
        <v>48.6</v>
      </c>
      <c r="E248" s="15">
        <f t="shared" ref="E248:J248" si="174">E251+E254</f>
        <v>45.545000000000002</v>
      </c>
      <c r="F248" s="19">
        <f t="shared" si="174"/>
        <v>53.6</v>
      </c>
      <c r="G248" s="19">
        <f t="shared" si="174"/>
        <v>17.135999999999999</v>
      </c>
      <c r="H248" s="19">
        <f t="shared" si="174"/>
        <v>66</v>
      </c>
      <c r="I248" s="19">
        <f t="shared" si="174"/>
        <v>0</v>
      </c>
      <c r="J248" s="15">
        <f t="shared" si="174"/>
        <v>0</v>
      </c>
    </row>
    <row r="249" spans="1:10" ht="30">
      <c r="A249" s="45"/>
      <c r="B249" s="62"/>
      <c r="C249" s="29" t="s">
        <v>62</v>
      </c>
      <c r="D249" s="15">
        <f>D252+D255</f>
        <v>0</v>
      </c>
      <c r="E249" s="15">
        <f t="shared" ref="E249:J249" si="175">E252+E255</f>
        <v>0</v>
      </c>
      <c r="F249" s="19">
        <f t="shared" si="175"/>
        <v>0</v>
      </c>
      <c r="G249" s="19">
        <f t="shared" si="175"/>
        <v>0</v>
      </c>
      <c r="H249" s="19">
        <f t="shared" si="175"/>
        <v>0</v>
      </c>
      <c r="I249" s="19">
        <f t="shared" si="175"/>
        <v>0</v>
      </c>
      <c r="J249" s="15">
        <f t="shared" si="175"/>
        <v>0</v>
      </c>
    </row>
    <row r="250" spans="1:10">
      <c r="A250" s="37" t="s">
        <v>102</v>
      </c>
      <c r="B250" s="55" t="s">
        <v>53</v>
      </c>
      <c r="C250" s="1" t="s">
        <v>60</v>
      </c>
      <c r="D250" s="13">
        <f>SUM(D251:D252)</f>
        <v>27.5</v>
      </c>
      <c r="E250" s="13">
        <f t="shared" ref="E250" si="176">SUM(E251:E252)</f>
        <v>24.895</v>
      </c>
      <c r="F250" s="18">
        <f t="shared" ref="F250" si="177">SUM(F251:F252)</f>
        <v>32.5</v>
      </c>
      <c r="G250" s="18">
        <f t="shared" ref="G250" si="178">SUM(G251:G252)</f>
        <v>4.1360000000000001</v>
      </c>
      <c r="H250" s="18">
        <f t="shared" ref="H250" si="179">SUM(H251:H252)</f>
        <v>53</v>
      </c>
      <c r="I250" s="18">
        <f t="shared" ref="I250" si="180">SUM(I251:I252)</f>
        <v>0</v>
      </c>
      <c r="J250" s="13">
        <f t="shared" ref="J250" si="181">SUM(J251:J252)</f>
        <v>0</v>
      </c>
    </row>
    <row r="251" spans="1:10">
      <c r="A251" s="38"/>
      <c r="B251" s="55"/>
      <c r="C251" s="1" t="s">
        <v>61</v>
      </c>
      <c r="D251" s="13">
        <v>27.5</v>
      </c>
      <c r="E251" s="13">
        <v>24.895</v>
      </c>
      <c r="F251" s="18">
        <v>32.5</v>
      </c>
      <c r="G251" s="18">
        <f>12-7.864</f>
        <v>4.1360000000000001</v>
      </c>
      <c r="H251" s="18">
        <v>53</v>
      </c>
      <c r="I251" s="18">
        <v>0</v>
      </c>
      <c r="J251" s="13">
        <v>0</v>
      </c>
    </row>
    <row r="252" spans="1:10" ht="17.25" customHeight="1">
      <c r="A252" s="39"/>
      <c r="B252" s="55"/>
      <c r="C252" s="1" t="s">
        <v>62</v>
      </c>
      <c r="D252" s="13"/>
      <c r="E252" s="13"/>
      <c r="F252" s="18"/>
      <c r="G252" s="18"/>
      <c r="H252" s="18"/>
      <c r="I252" s="18"/>
      <c r="J252" s="13"/>
    </row>
    <row r="253" spans="1:10" ht="16.899999999999999" customHeight="1">
      <c r="A253" s="37" t="s">
        <v>103</v>
      </c>
      <c r="B253" s="37" t="s">
        <v>54</v>
      </c>
      <c r="C253" s="1" t="s">
        <v>60</v>
      </c>
      <c r="D253" s="13">
        <f>SUM(D254:D255)</f>
        <v>21.1</v>
      </c>
      <c r="E253" s="13">
        <f t="shared" ref="E253" si="182">SUM(E254:E255)</f>
        <v>20.65</v>
      </c>
      <c r="F253" s="18">
        <f t="shared" ref="F253" si="183">SUM(F254:F255)</f>
        <v>21.1</v>
      </c>
      <c r="G253" s="18">
        <f t="shared" ref="G253" si="184">SUM(G254:G255)</f>
        <v>13</v>
      </c>
      <c r="H253" s="18">
        <f t="shared" ref="H253" si="185">SUM(H254:H255)</f>
        <v>13</v>
      </c>
      <c r="I253" s="18">
        <f t="shared" ref="I253" si="186">SUM(I254:I255)</f>
        <v>0</v>
      </c>
      <c r="J253" s="13">
        <f t="shared" ref="J253" si="187">SUM(J254:J255)</f>
        <v>0</v>
      </c>
    </row>
    <row r="254" spans="1:10">
      <c r="A254" s="38"/>
      <c r="B254" s="38"/>
      <c r="C254" s="1" t="s">
        <v>61</v>
      </c>
      <c r="D254" s="13">
        <v>21.1</v>
      </c>
      <c r="E254" s="13">
        <v>20.65</v>
      </c>
      <c r="F254" s="18">
        <v>21.1</v>
      </c>
      <c r="G254" s="18">
        <v>13</v>
      </c>
      <c r="H254" s="18">
        <v>13</v>
      </c>
      <c r="I254" s="18">
        <v>0</v>
      </c>
      <c r="J254" s="13">
        <v>0</v>
      </c>
    </row>
    <row r="255" spans="1:10" ht="17.25" customHeight="1">
      <c r="A255" s="39"/>
      <c r="B255" s="39"/>
      <c r="C255" s="1" t="s">
        <v>62</v>
      </c>
      <c r="D255" s="13"/>
      <c r="E255" s="13"/>
      <c r="F255" s="18"/>
      <c r="G255" s="18"/>
      <c r="H255" s="18"/>
      <c r="I255" s="18"/>
      <c r="J255" s="13"/>
    </row>
    <row r="256" spans="1:10">
      <c r="A256" s="43" t="s">
        <v>55</v>
      </c>
      <c r="B256" s="63" t="s">
        <v>56</v>
      </c>
      <c r="C256" s="29" t="s">
        <v>60</v>
      </c>
      <c r="D256" s="15">
        <f>SUM(D257:D258)</f>
        <v>14457.853999999999</v>
      </c>
      <c r="E256" s="15">
        <f t="shared" ref="E256" si="188">SUM(E257:E258)</f>
        <v>17711</v>
      </c>
      <c r="F256" s="19">
        <f t="shared" ref="F256" si="189">SUM(F257:F258)</f>
        <v>18075.886000000002</v>
      </c>
      <c r="G256" s="19">
        <f t="shared" ref="G256" si="190">SUM(G257:G258)</f>
        <v>17562.537</v>
      </c>
      <c r="H256" s="19">
        <f t="shared" ref="H256" si="191">SUM(H257:H258)</f>
        <v>18587.968000000001</v>
      </c>
      <c r="I256" s="19">
        <f t="shared" ref="I256" si="192">SUM(I257:I258)</f>
        <v>18350.665000000001</v>
      </c>
      <c r="J256" s="15">
        <f t="shared" ref="J256" si="193">SUM(J257:J258)</f>
        <v>20595.627</v>
      </c>
    </row>
    <row r="257" spans="1:10">
      <c r="A257" s="44"/>
      <c r="B257" s="64"/>
      <c r="C257" s="29" t="s">
        <v>61</v>
      </c>
      <c r="D257" s="15">
        <f>D260+D263</f>
        <v>14457.853999999999</v>
      </c>
      <c r="E257" s="15">
        <f t="shared" ref="E257:J257" si="194">E260+E263</f>
        <v>17711</v>
      </c>
      <c r="F257" s="19">
        <f t="shared" si="194"/>
        <v>18075.886000000002</v>
      </c>
      <c r="G257" s="19">
        <f t="shared" si="194"/>
        <v>17562.537</v>
      </c>
      <c r="H257" s="19">
        <f t="shared" si="194"/>
        <v>18587.968000000001</v>
      </c>
      <c r="I257" s="19">
        <f t="shared" si="194"/>
        <v>18350.665000000001</v>
      </c>
      <c r="J257" s="15">
        <f t="shared" si="194"/>
        <v>20595.627</v>
      </c>
    </row>
    <row r="258" spans="1:10" ht="31.5" customHeight="1">
      <c r="A258" s="45"/>
      <c r="B258" s="65"/>
      <c r="C258" s="29" t="s">
        <v>62</v>
      </c>
      <c r="D258" s="15">
        <f>D261+D264</f>
        <v>0</v>
      </c>
      <c r="E258" s="15">
        <f t="shared" ref="E258:J258" si="195">E261+E264</f>
        <v>0</v>
      </c>
      <c r="F258" s="19">
        <f t="shared" si="195"/>
        <v>0</v>
      </c>
      <c r="G258" s="19">
        <f t="shared" si="195"/>
        <v>0</v>
      </c>
      <c r="H258" s="19">
        <f t="shared" si="195"/>
        <v>0</v>
      </c>
      <c r="I258" s="19">
        <f t="shared" si="195"/>
        <v>0</v>
      </c>
      <c r="J258" s="15">
        <f t="shared" si="195"/>
        <v>0</v>
      </c>
    </row>
    <row r="259" spans="1:10" ht="20.45" customHeight="1">
      <c r="A259" s="37" t="s">
        <v>104</v>
      </c>
      <c r="B259" s="37" t="s">
        <v>57</v>
      </c>
      <c r="C259" s="1" t="s">
        <v>60</v>
      </c>
      <c r="D259" s="13">
        <f>SUM(D260:D261)</f>
        <v>2843.2020000000002</v>
      </c>
      <c r="E259" s="13">
        <f t="shared" ref="E259" si="196">SUM(E260:E261)</f>
        <v>17711</v>
      </c>
      <c r="F259" s="18">
        <f t="shared" ref="F259" si="197">SUM(F260:F261)</f>
        <v>18075.886000000002</v>
      </c>
      <c r="G259" s="18">
        <f t="shared" ref="G259" si="198">SUM(G260:G261)</f>
        <v>17562.537</v>
      </c>
      <c r="H259" s="18">
        <f t="shared" ref="H259" si="199">SUM(H260:H261)</f>
        <v>18587.968000000001</v>
      </c>
      <c r="I259" s="18">
        <f t="shared" ref="I259" si="200">SUM(I260:I261)</f>
        <v>18350.665000000001</v>
      </c>
      <c r="J259" s="13">
        <f t="shared" ref="J259" si="201">SUM(J260:J261)</f>
        <v>20595.627</v>
      </c>
    </row>
    <row r="260" spans="1:10">
      <c r="A260" s="38"/>
      <c r="B260" s="38"/>
      <c r="C260" s="1" t="s">
        <v>61</v>
      </c>
      <c r="D260" s="13">
        <v>2843.2020000000002</v>
      </c>
      <c r="E260" s="13">
        <v>17711</v>
      </c>
      <c r="F260" s="18">
        <f>17840.9-10-10+255-70.7+70.7-0.014</f>
        <v>18075.886000000002</v>
      </c>
      <c r="G260" s="18">
        <v>17562.537</v>
      </c>
      <c r="H260" s="18">
        <v>18587.968000000001</v>
      </c>
      <c r="I260" s="18">
        <f>20618.627-2320.162+32.2+20</f>
        <v>18350.665000000001</v>
      </c>
      <c r="J260" s="13">
        <v>20595.627</v>
      </c>
    </row>
    <row r="261" spans="1:10" ht="15.75" customHeight="1">
      <c r="A261" s="39"/>
      <c r="B261" s="39"/>
      <c r="C261" s="1" t="s">
        <v>62</v>
      </c>
      <c r="D261" s="13"/>
      <c r="E261" s="13"/>
      <c r="F261" s="18"/>
      <c r="G261" s="18"/>
      <c r="H261" s="18"/>
      <c r="I261" s="18"/>
      <c r="J261" s="13"/>
    </row>
    <row r="262" spans="1:10">
      <c r="A262" s="37" t="s">
        <v>105</v>
      </c>
      <c r="B262" s="37" t="s">
        <v>58</v>
      </c>
      <c r="C262" s="1" t="s">
        <v>60</v>
      </c>
      <c r="D262" s="13">
        <f>SUM(D263:D264)</f>
        <v>11614.652</v>
      </c>
      <c r="E262" s="13">
        <f t="shared" ref="E262" si="202">SUM(E263:E264)</f>
        <v>0</v>
      </c>
      <c r="F262" s="18">
        <f t="shared" ref="F262" si="203">SUM(F263:F264)</f>
        <v>0</v>
      </c>
      <c r="G262" s="18">
        <f t="shared" ref="G262" si="204">SUM(G263:G264)</f>
        <v>0</v>
      </c>
      <c r="H262" s="18">
        <f t="shared" ref="H262" si="205">SUM(H263:H264)</f>
        <v>0</v>
      </c>
      <c r="I262" s="18">
        <f t="shared" ref="I262" si="206">SUM(I263:I264)</f>
        <v>0</v>
      </c>
      <c r="J262" s="13">
        <f t="shared" ref="J262" si="207">SUM(J263:J264)</f>
        <v>0</v>
      </c>
    </row>
    <row r="263" spans="1:10">
      <c r="A263" s="38"/>
      <c r="B263" s="38"/>
      <c r="C263" s="1" t="s">
        <v>61</v>
      </c>
      <c r="D263" s="13">
        <v>11614.652</v>
      </c>
      <c r="E263" s="13">
        <v>0</v>
      </c>
      <c r="F263" s="18">
        <v>0</v>
      </c>
      <c r="G263" s="18">
        <v>0</v>
      </c>
      <c r="H263" s="18">
        <v>0</v>
      </c>
      <c r="I263" s="18">
        <v>0</v>
      </c>
      <c r="J263" s="13">
        <v>0</v>
      </c>
    </row>
    <row r="264" spans="1:10" ht="18.75" customHeight="1">
      <c r="A264" s="39"/>
      <c r="B264" s="39"/>
      <c r="C264" s="9" t="s">
        <v>62</v>
      </c>
      <c r="D264" s="2"/>
      <c r="E264" s="2"/>
      <c r="F264" s="20"/>
      <c r="G264" s="20"/>
      <c r="H264" s="20"/>
      <c r="I264" s="20"/>
      <c r="J264" s="2"/>
    </row>
  </sheetData>
  <mergeCells count="152">
    <mergeCell ref="A160:A162"/>
    <mergeCell ref="A188:A198"/>
    <mergeCell ref="B196:B198"/>
    <mergeCell ref="B148:B150"/>
    <mergeCell ref="B160:B162"/>
    <mergeCell ref="B151:B153"/>
    <mergeCell ref="A157:A159"/>
    <mergeCell ref="A151:A153"/>
    <mergeCell ref="A154:A156"/>
    <mergeCell ref="B154:B156"/>
    <mergeCell ref="B179:B181"/>
    <mergeCell ref="A182:A184"/>
    <mergeCell ref="B182:B184"/>
    <mergeCell ref="A148:A150"/>
    <mergeCell ref="B157:B159"/>
    <mergeCell ref="F1:J1"/>
    <mergeCell ref="F2:J3"/>
    <mergeCell ref="A4:J4"/>
    <mergeCell ref="D6:J6"/>
    <mergeCell ref="A108:A113"/>
    <mergeCell ref="A145:A147"/>
    <mergeCell ref="B145:B147"/>
    <mergeCell ref="A114:A116"/>
    <mergeCell ref="B114:B116"/>
    <mergeCell ref="A120:A122"/>
    <mergeCell ref="B120:B122"/>
    <mergeCell ref="A123:A125"/>
    <mergeCell ref="B123:B125"/>
    <mergeCell ref="B142:B144"/>
    <mergeCell ref="A135:A144"/>
    <mergeCell ref="B135:B137"/>
    <mergeCell ref="A244:A246"/>
    <mergeCell ref="B244:B246"/>
    <mergeCell ref="A211:A213"/>
    <mergeCell ref="B211:B213"/>
    <mergeCell ref="A214:A216"/>
    <mergeCell ref="B214:B216"/>
    <mergeCell ref="B217:B219"/>
    <mergeCell ref="A217:A222"/>
    <mergeCell ref="B220:B222"/>
    <mergeCell ref="A226:A228"/>
    <mergeCell ref="B226:B228"/>
    <mergeCell ref="A229:A231"/>
    <mergeCell ref="B229:B231"/>
    <mergeCell ref="A223:A225"/>
    <mergeCell ref="B223:B225"/>
    <mergeCell ref="B241:B243"/>
    <mergeCell ref="A235:A243"/>
    <mergeCell ref="A259:A261"/>
    <mergeCell ref="B259:B261"/>
    <mergeCell ref="A262:A264"/>
    <mergeCell ref="B262:B264"/>
    <mergeCell ref="A247:A249"/>
    <mergeCell ref="B247:B249"/>
    <mergeCell ref="A250:A252"/>
    <mergeCell ref="B250:B252"/>
    <mergeCell ref="A253:A255"/>
    <mergeCell ref="B253:B255"/>
    <mergeCell ref="A256:A258"/>
    <mergeCell ref="B256:B258"/>
    <mergeCell ref="C6:C7"/>
    <mergeCell ref="A6:A7"/>
    <mergeCell ref="B6:B7"/>
    <mergeCell ref="A50:A52"/>
    <mergeCell ref="B50:B52"/>
    <mergeCell ref="A53:A55"/>
    <mergeCell ref="B53:B55"/>
    <mergeCell ref="A38:A40"/>
    <mergeCell ref="B38:B40"/>
    <mergeCell ref="A41:A43"/>
    <mergeCell ref="B41:B43"/>
    <mergeCell ref="B44:B46"/>
    <mergeCell ref="A44:A49"/>
    <mergeCell ref="B47:B49"/>
    <mergeCell ref="B28:B30"/>
    <mergeCell ref="A35:A37"/>
    <mergeCell ref="A16:A27"/>
    <mergeCell ref="B16:B18"/>
    <mergeCell ref="B19:B21"/>
    <mergeCell ref="B25:B27"/>
    <mergeCell ref="A232:A234"/>
    <mergeCell ref="B232:B234"/>
    <mergeCell ref="B235:B237"/>
    <mergeCell ref="B238:B240"/>
    <mergeCell ref="B93:B95"/>
    <mergeCell ref="B96:B98"/>
    <mergeCell ref="B65:B67"/>
    <mergeCell ref="B111:B113"/>
    <mergeCell ref="A105:A107"/>
    <mergeCell ref="A90:A92"/>
    <mergeCell ref="B90:B92"/>
    <mergeCell ref="B105:B107"/>
    <mergeCell ref="A93:A104"/>
    <mergeCell ref="B102:B104"/>
    <mergeCell ref="A132:A134"/>
    <mergeCell ref="B132:B134"/>
    <mergeCell ref="A179:A181"/>
    <mergeCell ref="A173:A175"/>
    <mergeCell ref="A208:A210"/>
    <mergeCell ref="B208:B210"/>
    <mergeCell ref="A185:A187"/>
    <mergeCell ref="B185:B187"/>
    <mergeCell ref="B199:B201"/>
    <mergeCell ref="B202:B204"/>
    <mergeCell ref="B8:B11"/>
    <mergeCell ref="A8:A11"/>
    <mergeCell ref="B188:B191"/>
    <mergeCell ref="A163:A166"/>
    <mergeCell ref="B163:B166"/>
    <mergeCell ref="A199:A207"/>
    <mergeCell ref="B205:B207"/>
    <mergeCell ref="A62:A64"/>
    <mergeCell ref="B62:B64"/>
    <mergeCell ref="B75:B77"/>
    <mergeCell ref="B78:B80"/>
    <mergeCell ref="A87:A89"/>
    <mergeCell ref="B87:B89"/>
    <mergeCell ref="A65:A67"/>
    <mergeCell ref="A68:A70"/>
    <mergeCell ref="B68:B70"/>
    <mergeCell ref="B81:B83"/>
    <mergeCell ref="B99:B101"/>
    <mergeCell ref="B108:B110"/>
    <mergeCell ref="A56:A58"/>
    <mergeCell ref="B56:B58"/>
    <mergeCell ref="B35:B37"/>
    <mergeCell ref="A59:A61"/>
    <mergeCell ref="B59:B61"/>
    <mergeCell ref="B31:B34"/>
    <mergeCell ref="A28:A34"/>
    <mergeCell ref="B192:B195"/>
    <mergeCell ref="B12:B15"/>
    <mergeCell ref="A12:A15"/>
    <mergeCell ref="A71:A74"/>
    <mergeCell ref="B71:B74"/>
    <mergeCell ref="B138:B141"/>
    <mergeCell ref="B22:B24"/>
    <mergeCell ref="A75:A86"/>
    <mergeCell ref="B84:B86"/>
    <mergeCell ref="A126:A128"/>
    <mergeCell ref="B126:B128"/>
    <mergeCell ref="A129:A131"/>
    <mergeCell ref="B129:B131"/>
    <mergeCell ref="B173:B175"/>
    <mergeCell ref="A176:A178"/>
    <mergeCell ref="B176:B178"/>
    <mergeCell ref="A117:A119"/>
    <mergeCell ref="B117:B119"/>
    <mergeCell ref="A167:A169"/>
    <mergeCell ref="B167:B169"/>
    <mergeCell ref="A170:A172"/>
    <mergeCell ref="B170:B172"/>
  </mergeCells>
  <pageMargins left="0.23622047244094491" right="0.23622047244094491" top="0.74803149606299213" bottom="0.74803149606299213" header="0.31496062992125984" footer="0.31496062992125984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2019-11-11T06:23:49Z</dcterms:modified>
</cp:coreProperties>
</file>