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435" windowWidth="20910" windowHeight="11745"/>
  </bookViews>
  <sheets>
    <sheet name="Прил 1 (Доходы)" sheetId="1" r:id="rId1"/>
    <sheet name="Прил 2 (Ведомственная)" sheetId="3" r:id="rId2"/>
    <sheet name="Прил 3 (Программы)" sheetId="7" r:id="rId3"/>
    <sheet name="Прил 4 (источники)" sheetId="4" r:id="rId4"/>
    <sheet name="Прил 6 (Дотации)" sheetId="6" r:id="rId5"/>
    <sheet name="прил 4 (ведомст)" sheetId="12" r:id="rId6"/>
    <sheet name="прил 6 ( программ)" sheetId="13" r:id="rId7"/>
    <sheet name="прилож 8 (источ)" sheetId="14" r:id="rId8"/>
    <sheet name="прил 2 (доходы)" sheetId="15" r:id="rId9"/>
  </sheets>
  <definedNames>
    <definedName name="_xlnm._FilterDatabase" localSheetId="1" hidden="1">'Прил 2 (Ведомственная)'!$A$14:$E$432</definedName>
    <definedName name="_xlnm.Print_Area" localSheetId="0">'Прил 1 (Доходы)'!$A$1:$C$152</definedName>
    <definedName name="_xlnm.Print_Area" localSheetId="1">'Прил 2 (Ведомственная)'!$A$1:$H$432</definedName>
    <definedName name="_xlnm.Print_Area" localSheetId="2">'Прил 3 (Программы)'!$A$1:$D$393</definedName>
    <definedName name="_xlnm.Print_Area" localSheetId="4">'Прил 6 (Дотации)'!$A$1:$D$28</definedName>
  </definedNames>
  <calcPr calcId="145621"/>
</workbook>
</file>

<file path=xl/calcChain.xml><?xml version="1.0" encoding="utf-8"?>
<calcChain xmlns="http://schemas.openxmlformats.org/spreadsheetml/2006/main">
  <c r="A4" i="14" l="1"/>
  <c r="A4" i="13"/>
  <c r="A4" i="15" l="1"/>
  <c r="D349" i="7"/>
  <c r="D235" i="7"/>
  <c r="D249" i="7"/>
  <c r="D246" i="7"/>
  <c r="D228" i="7"/>
  <c r="E239" i="3"/>
  <c r="E153" i="3"/>
  <c r="A4" i="12" l="1"/>
  <c r="A4" i="6"/>
  <c r="A5" i="4"/>
  <c r="A4" i="7"/>
  <c r="A4" i="3"/>
  <c r="D73" i="7"/>
  <c r="D224" i="7" l="1"/>
  <c r="E222" i="3"/>
  <c r="I25" i="4" l="1"/>
  <c r="I29" i="4"/>
  <c r="D189" i="7"/>
  <c r="D227" i="7"/>
  <c r="C110" i="1"/>
  <c r="C111" i="1"/>
  <c r="C117" i="1"/>
  <c r="C128" i="1"/>
  <c r="C129" i="1"/>
  <c r="I23" i="14" l="1"/>
  <c r="E18" i="12"/>
  <c r="D18" i="13"/>
  <c r="D23" i="13"/>
  <c r="D32" i="13"/>
  <c r="D26" i="13"/>
  <c r="D27" i="13"/>
  <c r="D22" i="13"/>
  <c r="D24" i="13"/>
  <c r="D25" i="13"/>
  <c r="D29" i="13"/>
  <c r="D31" i="13"/>
  <c r="E40" i="12"/>
  <c r="E49" i="12"/>
  <c r="E46" i="12"/>
  <c r="E48" i="12"/>
  <c r="E41" i="12"/>
  <c r="E42" i="12"/>
  <c r="E43" i="12"/>
  <c r="E44" i="12"/>
  <c r="J26" i="14"/>
  <c r="J25" i="14" s="1"/>
  <c r="J24" i="14" s="1"/>
  <c r="I26" i="14"/>
  <c r="I25" i="14" s="1"/>
  <c r="I24" i="14" s="1"/>
  <c r="J23" i="14"/>
  <c r="J22" i="14" s="1"/>
  <c r="J21" i="14" s="1"/>
  <c r="J20" i="14" s="1"/>
  <c r="I22" i="14"/>
  <c r="I21" i="14" s="1"/>
  <c r="I20" i="14" s="1"/>
  <c r="E65" i="13"/>
  <c r="D65" i="13"/>
  <c r="E63" i="13"/>
  <c r="D63" i="13"/>
  <c r="E60" i="13"/>
  <c r="D60" i="13"/>
  <c r="E57" i="13"/>
  <c r="D57" i="13"/>
  <c r="E55" i="13"/>
  <c r="D55" i="13"/>
  <c r="E39" i="12" l="1"/>
  <c r="I19" i="14"/>
  <c r="I18" i="14" s="1"/>
  <c r="J19" i="14"/>
  <c r="J18" i="14" s="1"/>
  <c r="B28" i="6" l="1"/>
  <c r="B27" i="6"/>
  <c r="B26" i="6"/>
  <c r="B25" i="6"/>
  <c r="B24" i="6"/>
  <c r="B23" i="6"/>
  <c r="B22" i="6"/>
  <c r="B20" i="6"/>
  <c r="D18" i="6"/>
  <c r="C18" i="6"/>
  <c r="B18" i="6"/>
  <c r="D354" i="7" l="1"/>
  <c r="D379" i="7"/>
  <c r="D381" i="7"/>
  <c r="D269" i="7"/>
  <c r="D218" i="7"/>
  <c r="D241" i="7"/>
  <c r="D203" i="7"/>
  <c r="D210" i="7"/>
  <c r="D155" i="7"/>
  <c r="D149" i="7"/>
  <c r="D135" i="7"/>
  <c r="D296" i="7"/>
  <c r="D294" i="7"/>
  <c r="D292" i="7"/>
  <c r="D186" i="7"/>
  <c r="D131" i="7"/>
  <c r="D132" i="7"/>
  <c r="D169" i="7"/>
  <c r="D141" i="7"/>
  <c r="D123" i="7"/>
  <c r="D156" i="7"/>
  <c r="D154" i="7"/>
  <c r="D150" i="7"/>
  <c r="D136" i="7"/>
  <c r="D393" i="7"/>
  <c r="D284" i="7"/>
  <c r="D91" i="7"/>
  <c r="D92" i="7"/>
  <c r="D265" i="7"/>
  <c r="D237" i="7"/>
  <c r="D238" i="7"/>
  <c r="D236" i="7"/>
  <c r="D198" i="7"/>
  <c r="D199" i="7"/>
  <c r="D221" i="7"/>
  <c r="D222" i="7"/>
  <c r="D336" i="7"/>
  <c r="D337" i="7"/>
  <c r="D338" i="7"/>
  <c r="D339" i="7"/>
  <c r="D54" i="7"/>
  <c r="D55" i="7"/>
  <c r="D45" i="7"/>
  <c r="D46" i="7"/>
  <c r="D353" i="7"/>
  <c r="D348" i="7"/>
  <c r="D303" i="7"/>
  <c r="D317" i="7"/>
  <c r="D371" i="7"/>
  <c r="D374" i="7"/>
  <c r="D274" i="7"/>
  <c r="D275" i="7"/>
  <c r="D276" i="7"/>
  <c r="D272" i="7"/>
  <c r="D273" i="7"/>
  <c r="D270" i="7"/>
  <c r="D271" i="7"/>
  <c r="D391" i="7"/>
  <c r="D351" i="7"/>
  <c r="D352" i="7"/>
  <c r="E412" i="3"/>
  <c r="E410" i="3"/>
  <c r="E409" i="3" s="1"/>
  <c r="E408" i="3"/>
  <c r="E376" i="3"/>
  <c r="E325" i="3"/>
  <c r="E324" i="3" s="1"/>
  <c r="E360" i="3"/>
  <c r="E334" i="3"/>
  <c r="E316" i="3"/>
  <c r="E349" i="3"/>
  <c r="E348" i="3" s="1"/>
  <c r="E347" i="3"/>
  <c r="E343" i="3"/>
  <c r="E342" i="3" s="1"/>
  <c r="E329" i="3"/>
  <c r="E328" i="3" s="1"/>
  <c r="E309" i="3"/>
  <c r="E303" i="3"/>
  <c r="E284" i="3"/>
  <c r="E283" i="3" s="1"/>
  <c r="E273" i="3" s="1"/>
  <c r="E186" i="3"/>
  <c r="E185" i="3" s="1"/>
  <c r="E259" i="3" l="1"/>
  <c r="E232" i="3"/>
  <c r="E233" i="3"/>
  <c r="E231" i="3"/>
  <c r="E214" i="3"/>
  <c r="E194" i="3"/>
  <c r="E193" i="3" s="1"/>
  <c r="E236" i="3"/>
  <c r="E198" i="3"/>
  <c r="E205" i="3"/>
  <c r="E241" i="3"/>
  <c r="E218" i="3"/>
  <c r="E217" i="3" s="1"/>
  <c r="E156" i="3"/>
  <c r="E155" i="3" s="1"/>
  <c r="E141" i="3"/>
  <c r="E140" i="3" s="1"/>
  <c r="E142" i="3"/>
  <c r="E143" i="3"/>
  <c r="E67" i="3"/>
  <c r="E60" i="3"/>
  <c r="E172" i="3"/>
  <c r="E170" i="3" s="1"/>
  <c r="E152" i="3"/>
  <c r="E118" i="3"/>
  <c r="E119" i="3"/>
  <c r="E125" i="3"/>
  <c r="E166" i="3"/>
  <c r="E169" i="3"/>
  <c r="E112" i="3"/>
  <c r="E111" i="3" s="1"/>
  <c r="E110" i="3" s="1"/>
  <c r="E109" i="3"/>
  <c r="E108" i="3" s="1"/>
  <c r="E107" i="3"/>
  <c r="E106" i="3" s="1"/>
  <c r="E32" i="3"/>
  <c r="E31" i="3" s="1"/>
  <c r="E30" i="3" s="1"/>
  <c r="E29" i="3" s="1"/>
  <c r="E28" i="3" s="1"/>
  <c r="E20" i="3"/>
  <c r="E19" i="3" s="1"/>
  <c r="E18" i="3" s="1"/>
  <c r="E22" i="3"/>
  <c r="E21" i="3" s="1"/>
  <c r="E105" i="3" l="1"/>
  <c r="D293" i="7"/>
  <c r="D190" i="7"/>
  <c r="D192" i="7"/>
  <c r="D170" i="7"/>
  <c r="D171" i="7"/>
  <c r="D145" i="7"/>
  <c r="D127" i="7"/>
  <c r="D26" i="7"/>
  <c r="D17" i="7"/>
  <c r="E362" i="3"/>
  <c r="E338" i="3"/>
  <c r="E320" i="3"/>
  <c r="E235" i="3" l="1"/>
  <c r="E34" i="3" l="1"/>
  <c r="E35" i="3"/>
  <c r="E44" i="3" l="1"/>
  <c r="D177" i="7" l="1"/>
  <c r="D168" i="7"/>
  <c r="D162" i="7" s="1"/>
  <c r="D146" i="7"/>
  <c r="D185" i="7"/>
  <c r="D184" i="7" s="1"/>
  <c r="D188" i="7"/>
  <c r="D187" i="7"/>
  <c r="D140" i="7"/>
  <c r="D122" i="7"/>
  <c r="D153" i="7"/>
  <c r="D152" i="7"/>
  <c r="D151" i="7" s="1"/>
  <c r="D134" i="7"/>
  <c r="D133" i="7" s="1"/>
  <c r="D148" i="7"/>
  <c r="D147" i="7" s="1"/>
  <c r="D130" i="7"/>
  <c r="D129" i="7" s="1"/>
  <c r="D128" i="7" s="1"/>
  <c r="D143" i="7"/>
  <c r="D142" i="7" s="1"/>
  <c r="D183" i="7"/>
  <c r="D182" i="7" s="1"/>
  <c r="D179" i="7"/>
  <c r="D178" i="7" s="1"/>
  <c r="D385" i="7"/>
  <c r="D367" i="7"/>
  <c r="D365" i="7"/>
  <c r="D382" i="7"/>
  <c r="D291" i="7"/>
  <c r="D287" i="7" s="1"/>
  <c r="D110" i="7"/>
  <c r="D109" i="7" s="1"/>
  <c r="D108" i="7" s="1"/>
  <c r="D116" i="7"/>
  <c r="D115" i="7" s="1"/>
  <c r="D283" i="7"/>
  <c r="D280" i="7" s="1"/>
  <c r="D101" i="7"/>
  <c r="D100" i="7" s="1"/>
  <c r="D240" i="7"/>
  <c r="D223" i="7"/>
  <c r="D215" i="7" s="1"/>
  <c r="D264" i="7"/>
  <c r="D209" i="7"/>
  <c r="D208" i="7" s="1"/>
  <c r="D245" i="7"/>
  <c r="D244" i="7" s="1"/>
  <c r="D202" i="7"/>
  <c r="D195" i="7" s="1"/>
  <c r="D217" i="7"/>
  <c r="D191" i="7"/>
  <c r="D104" i="7"/>
  <c r="D103" i="7" s="1"/>
  <c r="D102" i="7" s="1"/>
  <c r="D364" i="7"/>
  <c r="D366" i="7"/>
  <c r="D370" i="7"/>
  <c r="D369" i="7" s="1"/>
  <c r="D373" i="7"/>
  <c r="D372" i="7" s="1"/>
  <c r="D315" i="7"/>
  <c r="D314" i="7" s="1"/>
  <c r="D313" i="7" s="1"/>
  <c r="D306" i="7" s="1"/>
  <c r="D90" i="7"/>
  <c r="D89" i="7" s="1"/>
  <c r="D88" i="7" s="1"/>
  <c r="D74" i="7" s="1"/>
  <c r="D302" i="7"/>
  <c r="D301" i="7" s="1"/>
  <c r="D392" i="7"/>
  <c r="D390" i="7" s="1"/>
  <c r="D268" i="7" l="1"/>
  <c r="D99" i="7"/>
  <c r="D347" i="7"/>
  <c r="D234" i="7"/>
  <c r="E407" i="3" l="1"/>
  <c r="E397" i="3"/>
  <c r="E395" i="3" s="1"/>
  <c r="E399" i="3"/>
  <c r="E400" i="3"/>
  <c r="E378" i="3"/>
  <c r="E377" i="3"/>
  <c r="E375" i="3" s="1"/>
  <c r="E374" i="3" s="1"/>
  <c r="E346" i="3"/>
  <c r="E345" i="3"/>
  <c r="E344" i="3" s="1"/>
  <c r="E327" i="3"/>
  <c r="E326" i="3" s="1"/>
  <c r="E388" i="3"/>
  <c r="E341" i="3"/>
  <c r="E340" i="3" s="1"/>
  <c r="E339" i="3" s="1"/>
  <c r="E323" i="3"/>
  <c r="E322" i="3" s="1"/>
  <c r="E321" i="3" s="1"/>
  <c r="E336" i="3"/>
  <c r="E335" i="3" s="1"/>
  <c r="E373" i="3"/>
  <c r="E372" i="3" s="1"/>
  <c r="E369" i="3"/>
  <c r="E368" i="3" s="1"/>
  <c r="E428" i="3"/>
  <c r="E295" i="3"/>
  <c r="E294" i="3" s="1"/>
  <c r="E297" i="3"/>
  <c r="E296" i="3" s="1"/>
  <c r="E302" i="3"/>
  <c r="E299" i="3" s="1"/>
  <c r="E298" i="3" s="1"/>
  <c r="E308" i="3"/>
  <c r="E307" i="3" s="1"/>
  <c r="E306" i="3" s="1"/>
  <c r="E293" i="3"/>
  <c r="E292" i="3" s="1"/>
  <c r="E291" i="3" l="1"/>
  <c r="E272" i="3" s="1"/>
  <c r="E267" i="3" s="1"/>
  <c r="E398" i="3"/>
  <c r="E394" i="3" s="1"/>
  <c r="E393" i="3" s="1"/>
  <c r="E427" i="3"/>
  <c r="E418" i="3" s="1"/>
  <c r="E417" i="3" s="1"/>
  <c r="F42" i="3"/>
  <c r="E403" i="3"/>
  <c r="E402" i="3" s="1"/>
  <c r="E367" i="3"/>
  <c r="E387" i="3"/>
  <c r="E386" i="3" s="1"/>
  <c r="E221" i="3"/>
  <c r="E258" i="3"/>
  <c r="E204" i="3"/>
  <c r="E203" i="3" s="1"/>
  <c r="E240" i="3"/>
  <c r="E242" i="3"/>
  <c r="E197" i="3"/>
  <c r="E190" i="3" s="1"/>
  <c r="E213" i="3"/>
  <c r="E230" i="3"/>
  <c r="E229" i="3" s="1"/>
  <c r="E401" i="3" l="1"/>
  <c r="E94" i="3"/>
  <c r="E93" i="3" s="1"/>
  <c r="E92" i="3" s="1"/>
  <c r="E165" i="3"/>
  <c r="E164" i="3" s="1"/>
  <c r="E167" i="3"/>
  <c r="E123" i="3"/>
  <c r="E122" i="3" s="1"/>
  <c r="E121" i="3" s="1"/>
  <c r="E90" i="3"/>
  <c r="E89" i="3" s="1"/>
  <c r="E84" i="3" s="1"/>
  <c r="E117" i="3"/>
  <c r="E116" i="3" s="1"/>
  <c r="E104" i="3" s="1"/>
  <c r="E175" i="3"/>
  <c r="E83" i="3" l="1"/>
  <c r="D232" i="7" l="1"/>
  <c r="D233" i="7"/>
  <c r="E227" i="3"/>
  <c r="E210" i="3" s="1"/>
  <c r="E228" i="3"/>
  <c r="D363" i="7" l="1"/>
  <c r="D346" i="7" s="1"/>
  <c r="D266" i="7"/>
  <c r="D261" i="7" s="1"/>
  <c r="D254" i="7" s="1"/>
  <c r="D243" i="7"/>
  <c r="D242" i="7" s="1"/>
  <c r="D239" i="7" s="1"/>
  <c r="D144" i="7"/>
  <c r="D137" i="7" s="1"/>
  <c r="D126" i="7"/>
  <c r="D121" i="7" s="1"/>
  <c r="D118" i="7" s="1"/>
  <c r="D30" i="7"/>
  <c r="D29" i="7" s="1"/>
  <c r="D25" i="7"/>
  <c r="E361" i="3"/>
  <c r="E359" i="3"/>
  <c r="E333" i="3"/>
  <c r="E337" i="3"/>
  <c r="E315" i="3"/>
  <c r="E319" i="3"/>
  <c r="E260" i="3"/>
  <c r="E255" i="3" s="1"/>
  <c r="E248" i="3" s="1"/>
  <c r="E238" i="3"/>
  <c r="E163" i="3"/>
  <c r="E161" i="3" s="1"/>
  <c r="E66" i="3"/>
  <c r="E58" i="3"/>
  <c r="E59" i="3"/>
  <c r="E182" i="3"/>
  <c r="E181" i="3" s="1"/>
  <c r="E180" i="3" s="1"/>
  <c r="E151" i="3" l="1"/>
  <c r="E150" i="3" s="1"/>
  <c r="E33" i="3" s="1"/>
  <c r="D117" i="7"/>
  <c r="D15" i="7" s="1"/>
  <c r="E354" i="3"/>
  <c r="E312" i="3"/>
  <c r="E330" i="3"/>
  <c r="E237" i="3"/>
  <c r="E234" i="3" s="1"/>
  <c r="E184" i="3" s="1"/>
  <c r="E179" i="3" s="1"/>
  <c r="E43" i="3"/>
  <c r="E311" i="3" l="1"/>
  <c r="E310" i="3" s="1"/>
  <c r="E17" i="3" s="1"/>
  <c r="D125" i="7"/>
  <c r="I35" i="4" l="1"/>
  <c r="I34" i="4" s="1"/>
  <c r="I32" i="4"/>
  <c r="I31" i="4"/>
  <c r="I28" i="4"/>
  <c r="I27" i="4" s="1"/>
  <c r="I26" i="4" s="1"/>
  <c r="I24" i="4"/>
  <c r="I23" i="4" s="1"/>
  <c r="I22" i="4" l="1"/>
  <c r="I21" i="4"/>
  <c r="I30" i="4"/>
  <c r="I20" i="4" l="1"/>
</calcChain>
</file>

<file path=xl/sharedStrings.xml><?xml version="1.0" encoding="utf-8"?>
<sst xmlns="http://schemas.openxmlformats.org/spreadsheetml/2006/main" count="4338" uniqueCount="913">
  <si>
    <t xml:space="preserve">
(тыс. руб.)</t>
  </si>
  <si>
    <t>1</t>
  </si>
  <si>
    <t>2</t>
  </si>
  <si>
    <t>3</t>
  </si>
  <si>
    <t>4</t>
  </si>
  <si>
    <t>Сумма</t>
  </si>
  <si>
    <t>000</t>
  </si>
  <si>
    <t>200</t>
  </si>
  <si>
    <t>300</t>
  </si>
  <si>
    <t>Субсидии на реализацию народных проектов в сфере КУЛЬТУРЫ, прошедших отбор в рамках проекта "Народный бюджет"</t>
  </si>
  <si>
    <t>400</t>
  </si>
  <si>
    <t xml:space="preserve">к проекту решения Совета </t>
  </si>
  <si>
    <t xml:space="preserve"> муниципального района  "Княжпогостский" </t>
  </si>
  <si>
    <t>от 24  декабря 2018г. №302</t>
  </si>
  <si>
    <t xml:space="preserve">к решению Совета 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</si>
  <si>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</si>
  <si>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</si>
  <si>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</si>
  <si>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</si>
  <si>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</si>
  <si>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</si>
  <si>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</si>
  <si>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</si>
  <si>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</si>
  <si>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99.0.00.00000</t>
  </si>
  <si>
    <t>Непрограммные расходы</t>
  </si>
  <si>
    <t>99.9.00.00000</t>
  </si>
  <si>
    <t>Руководитель контрольно-счетной палаты</t>
  </si>
  <si>
    <t>99.9.00.00300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</si>
  <si>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</si>
  <si>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</si>
  <si>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</si>
  <si>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99.9.00.64502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</si>
  <si>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</si>
  <si>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</si>
  <si>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99.9.00.82040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</si>
  <si>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</si>
  <si>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</si>
  <si>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</si>
  <si>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99.9.00.92920</t>
  </si>
  <si>
    <t>"Развитие экономики в Княжпогостском районе"</t>
  </si>
  <si>
    <t>Развитие малого и среднего предпринимательства в Княжпогостском районе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</si>
  <si>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</si>
  <si>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Иные бюджетные ассигнования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</si>
  <si>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</si>
  <si>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</si>
  <si>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Межбюджетные трансферты</t>
  </si>
  <si>
    <t>500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</si>
  <si>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</si>
  <si>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</si>
  <si>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«Развитие лесного хозяйства на территории муниципального района «Княжпогостский»</t>
  </si>
  <si>
    <t>Содействие занятости населения муниципального района "Княжпогостский"</t>
  </si>
  <si>
    <t>Муниципальная программа "Развитие дорожной и транспортной системы в Княжпогостском районе"</t>
  </si>
  <si>
    <t>02.0.00.00000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</si>
  <si>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</si>
  <si>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02.1.00.00000</t>
  </si>
  <si>
    <t>Содержание автомобильных дорог общего пользования местного значения</t>
  </si>
  <si>
    <t>02.1.1A.00000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</si>
  <si>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</si>
  <si>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</si>
  <si>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</si>
  <si>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</si>
  <si>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Организация внутримуниципальных перевозок</t>
  </si>
  <si>
    <t>Организация транспортного обслуживания населения между поселениями</t>
  </si>
  <si>
    <t>Организация транспортного обслуживания на городских маршрутах</t>
  </si>
  <si>
    <t>Развитие транспортной системы</t>
  </si>
  <si>
    <t>Разработка комплексных схем организации дорожного движения</t>
  </si>
  <si>
    <t>Муниципальная программа "Развитие жилищного строительства и жилищно-коммунального хозяйства в Княжпогостском районе"</t>
  </si>
  <si>
    <t>03.0.00.00000</t>
  </si>
  <si>
    <t>Подпрограмма "Создание условий для обеспечения населения доступным и комфортным жильем"</t>
  </si>
  <si>
    <t>03.1.00.00000</t>
  </si>
  <si>
    <t>Социальное обеспечение и иные выплаты населению</t>
  </si>
  <si>
    <t>Снос аварийных домов</t>
  </si>
  <si>
    <t>Подпрограмма "Обеспечение населения качественными жилищно-коммунальными услугами"</t>
  </si>
  <si>
    <t>03.2.00.00000</t>
  </si>
  <si>
    <t>Приведение в нормативное состояние канализационных и инженерных сетей</t>
  </si>
  <si>
    <t>Модернизация и ремонт коммунальных систем инженерной инфраструктуры и другого имущества</t>
  </si>
  <si>
    <t>03.2.2Ж.00000</t>
  </si>
  <si>
    <t>Разработка и утверждение схем водоснабжения, водоотведения</t>
  </si>
  <si>
    <t>Муниципальная программа "Развитие муниципального управления в муниципальном районе "Княжпогостский"</t>
  </si>
  <si>
    <t>07.0.00.00000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</si>
  <si>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</si>
  <si>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</si>
  <si>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</si>
  <si>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</si>
  <si>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</si>
  <si>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</si>
  <si>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</si>
  <si>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</si>
  <si>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</si>
  <si>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</si>
  <si>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"Безопасность населения"</t>
  </si>
  <si>
    <t>Антитеррористическая пропаганда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</si>
  <si>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</si>
  <si>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</si>
  <si>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Обустройство контейнерных площадок для накопления ТКО</t>
  </si>
  <si>
    <t>Обустройство контейнерных площадок для накопления ТКО в соответствии с заключенными соглашениями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</si>
  <si>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</si>
  <si>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</si>
  <si>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</si>
  <si>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</si>
  <si>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</si>
  <si>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</si>
  <si>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</si>
  <si>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</si>
  <si>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</si>
  <si>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</si>
  <si>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</si>
  <si>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Расходы в целях обеспечения выполнения функций органов местного самоуправления (руководитель администрации)</t>
  </si>
  <si>
    <t>Расходы на подготовку и проведение выборов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</si>
  <si>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</si>
  <si>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</si>
  <si>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99.9.00.73150</t>
  </si>
  <si>
    <t>Резервный фонд по предупреждению и ликвидации чрезвычайных ситуаций и последствий стихийных бедствий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</si>
  <si>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</si>
  <si>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</si>
  <si>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</si>
  <si>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Обеспечение роста уровня оплаты труда педагогических работников муниципальных организаций дополнительного образования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</si>
  <si>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</si>
  <si>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</si>
  <si>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</si>
  <si>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</si>
  <si>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Выполнение муниципального задания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</si>
  <si>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</si>
  <si>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Мероприятия по организации деятельности по сбору и транспортированию твёрдых коммунальных отходов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</si>
  <si>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</si>
  <si>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</si>
  <si>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</si>
  <si>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</si>
  <si>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Субсидии на укрепление материально-технической базы муниципальных учреждений сферы культуры</t>
  </si>
  <si>
    <t>Строительство объектов культуры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</si>
  <si>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</si>
  <si>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</si>
  <si>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</si>
  <si>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</si>
  <si>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</si>
  <si>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</si>
  <si>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</si>
  <si>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</si>
  <si>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</si>
  <si>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</si>
  <si>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</si>
  <si>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</si>
  <si>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</si>
  <si>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</si>
  <si>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</si>
  <si>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</si>
  <si>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03.1.1В.00000</t>
  </si>
  <si>
    <t>Предоставление земельных участков отдельным категориям граждан</t>
  </si>
  <si>
    <t>03.1.1Г.00000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</si>
  <si>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</si>
  <si>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03.1.1Е.00000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</si>
  <si>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</si>
  <si>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03.1.1Е.73030</t>
  </si>
  <si>
    <t>Капитальные вложения в объекты государственной (муниципальной) собственности</t>
  </si>
  <si>
    <t>03.1.1Е.R0820</t>
  </si>
  <si>
    <t>Приобретение, строительство муниципального жилищного фонда</t>
  </si>
  <si>
    <t>03.1.1Н.00000</t>
  </si>
  <si>
    <t>Обеспечение мероприятий по расселению непригодного для проживания жилищного фонда</t>
  </si>
  <si>
    <t>03.1.F3.09502</t>
  </si>
  <si>
    <t>03.1.F3.09602</t>
  </si>
  <si>
    <t>03.1.F3.S9602</t>
  </si>
  <si>
    <t>Оплата коммунальных услуг по муниципальному жилищному фонду</t>
  </si>
  <si>
    <t>03.2.2В.00000</t>
  </si>
  <si>
    <t>Содержание объектов муниципальной собственности</t>
  </si>
  <si>
    <t>03.2.2К.00000</t>
  </si>
  <si>
    <t>Управление муниципальным имуществом муниципального района "Княжпогостский"</t>
  </si>
  <si>
    <t>07.4.00.00000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</si>
  <si>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</si>
  <si>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07.4.1Б.S2840</t>
  </si>
  <si>
    <t>Руководство и управление в сфере реализации подпрограммы</t>
  </si>
  <si>
    <t>07.4.4Д.00000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</si>
  <si>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</si>
  <si>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</si>
  <si>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</si>
  <si>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</si>
  <si>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</si>
  <si>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текущих ремонтов в дошкольных образовательных организациях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</si>
  <si>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</si>
  <si>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</si>
  <si>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</si>
  <si>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</si>
  <si>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Укрепление материально-технической базы</t>
  </si>
  <si>
    <t>Выполнение противопожарных мероприятий в общеобразовательных организациях</t>
  </si>
  <si>
    <t>Проведение текущих ремонтов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</si>
  <si>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</si>
  <si>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Субсидии на открытие дополнительных классов</t>
  </si>
  <si>
    <t>Подпрограмма "Дети и молодежь Княжпогостского района"</t>
  </si>
  <si>
    <t>Содействие трудоустройству и временной занятости молодежи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</si>
  <si>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</si>
  <si>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</si>
  <si>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</si>
  <si>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</si>
  <si>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Мероприятия по проведению оздоровительной кампании детей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</si>
  <si>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</si>
  <si>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</si>
  <si>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</si>
  <si>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</si>
  <si>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</si>
  <si>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</si>
  <si>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</si>
  <si>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</si>
  <si>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</si>
  <si>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</si>
  <si>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</si>
  <si>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</si>
  <si>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07.5.00.00000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</si>
  <si>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</si>
  <si>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07.5.5А.00000</t>
  </si>
  <si>
    <t>07.5.5А.73110</t>
  </si>
  <si>
    <t>Сбалансированность бюджетов поселений</t>
  </si>
  <si>
    <t>07.5.5Д.00000</t>
  </si>
  <si>
    <t>Руководство и управление в сфере финансов</t>
  </si>
  <si>
    <t>07.5.5Е.00000</t>
  </si>
  <si>
    <t>07.5.5Е.64502</t>
  </si>
  <si>
    <t>Выравнивание бюджетной обеспеченности поселений из районного фонда финансовой поддержки</t>
  </si>
  <si>
    <t>07.5.5Ж.00000</t>
  </si>
  <si>
    <t>Субвенции на осуществление первичного воинского учета на территориях, где отсутствуют военные комиссариаты</t>
  </si>
  <si>
    <t>99.9.00.51180</t>
  </si>
  <si>
    <t>Осуществление полномочий Российской Федерации по государственной регистрации актов гражданского состояния</t>
  </si>
  <si>
    <t>99.9.00.59300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</si>
  <si>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</si>
  <si>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99.9.00.73090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</si>
  <si>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</si>
  <si>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99.9.00.73100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</si>
  <si>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</si>
  <si>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99.9.00.73160</t>
  </si>
  <si>
    <t>Приложение № 2</t>
  </si>
  <si>
    <t>муниципального района "Княжпогостский"</t>
  </si>
  <si>
    <t>Приложение № 3</t>
  </si>
  <si>
    <t>от 24 декабря 2018 г. № 302</t>
  </si>
  <si>
    <t>Ведомственная структура расходов бюджета муниципального района "Княжпогостский" на 2019 год</t>
  </si>
  <si>
    <t>Приложение №7</t>
  </si>
  <si>
    <t xml:space="preserve">Источники  финансирования дефицита </t>
  </si>
  <si>
    <t>бюджета муниципального района "Княжпогостский" на 2019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</si>
  <si>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</si>
  <si>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</si>
  <si>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</si>
  <si>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</si>
  <si>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</si>
  <si>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</si>
  <si>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</si>
  <si>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</si>
  <si>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</si>
  <si>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</si>
  <si>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</si>
  <si>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</si>
  <si>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</si>
  <si>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</si>
  <si>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</si>
  <si>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</si>
  <si>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</si>
  <si>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</si>
  <si>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</si>
  <si>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</si>
  <si>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</si>
  <si>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</si>
  <si>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</si>
  <si>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</si>
  <si>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</si>
  <si>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</si>
  <si>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</si>
  <si>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</si>
  <si>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</si>
  <si>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</si>
  <si>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</si>
  <si>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 6</t>
  </si>
  <si>
    <t>Приложение № 13</t>
  </si>
  <si>
    <t>к решению Совета</t>
  </si>
  <si>
    <t xml:space="preserve">                                                                              от 24 декабря 2018г. № 302</t>
  </si>
  <si>
    <t>Таблица 2</t>
  </si>
  <si>
    <t xml:space="preserve"> Распределение дотаций</t>
  </si>
  <si>
    <t>на поддержку мер по обеспечению сбалансированности бюджетов поселений на 2019 год</t>
  </si>
  <si>
    <t>Наименование поселений</t>
  </si>
  <si>
    <t>Всего сумма, тыс.рублей</t>
  </si>
  <si>
    <t>за счет средств республиканского бюджета РК</t>
  </si>
  <si>
    <t>изменения МБ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</si>
  <si>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</si>
  <si>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</si>
  <si>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</si>
  <si>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</si>
  <si>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</si>
  <si>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</si>
  <si>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</si>
  <si>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</si>
  <si>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</si>
  <si>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</si>
  <si>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</si>
  <si>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2019 год </t>
  </si>
  <si>
    <t>Наименование КЦСР</t>
  </si>
  <si>
    <t>КЦСР</t>
  </si>
  <si>
    <t>КВР</t>
  </si>
  <si>
    <t>Ассигнования 2019 год</t>
  </si>
  <si>
    <t>Итого</t>
  </si>
  <si>
    <t>Содержание автомобильных дорог общего пользования местного значения"</t>
  </si>
  <si>
    <t>ОТДЕЛ КУЛЬТУРЫ И СПОРТА АДМИНИСТРАЦИИ МУНИЦИПАЛЬНОГО РАЙОНА "КНЯЖПОГОСТСКИЙ"</t>
  </si>
  <si>
    <t>956</t>
  </si>
  <si>
    <t>05.0.00.00000</t>
  </si>
  <si>
    <t>05.1.00.00000</t>
  </si>
  <si>
    <t>05.1.1В.00000</t>
  </si>
  <si>
    <t>05.1.1В.S2700</t>
  </si>
  <si>
    <t>05.2.00.00000</t>
  </si>
  <si>
    <t>05.2.2А.L5190</t>
  </si>
  <si>
    <t>05.2.2Б.00000</t>
  </si>
  <si>
    <t>05.2.2В.00000</t>
  </si>
  <si>
    <t>05.2.2Д.00000</t>
  </si>
  <si>
    <t>05.2.2Д.S2690</t>
  </si>
  <si>
    <t>05.2.2Д.S2850</t>
  </si>
  <si>
    <t>05.3.00.00000</t>
  </si>
  <si>
    <t>05.3.3Б.00000</t>
  </si>
  <si>
    <t>05.3.3Б.S2690</t>
  </si>
  <si>
    <t>05.3.3Б.S2850</t>
  </si>
  <si>
    <t>05.4.00.00000</t>
  </si>
  <si>
    <t>05.4.4A.S2850</t>
  </si>
  <si>
    <t>05.4.4А.00000</t>
  </si>
  <si>
    <t>05.4.4А.S2690</t>
  </si>
  <si>
    <t>05.4.4Б.00000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</si>
  <si>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</si>
  <si>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05.4.4В.L4670</t>
  </si>
  <si>
    <t>05.4.4В.S2150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</si>
  <si>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</si>
  <si>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</si>
  <si>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</si>
  <si>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</si>
  <si>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</si>
  <si>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</si>
  <si>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</si>
  <si>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</si>
  <si>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05.8.8А.S2690</t>
  </si>
  <si>
    <t>Укрепление материально-технической базы муниципальных учреждений сферы культуры.</t>
  </si>
  <si>
    <t>05.8.8В.L4670</t>
  </si>
  <si>
    <t>06.0.00.00000</t>
  </si>
  <si>
    <t>06.2.00.00000</t>
  </si>
  <si>
    <t>06.2.2Г.00000</t>
  </si>
  <si>
    <t>06.3.00.00000</t>
  </si>
  <si>
    <t>06.3.3Б.00000</t>
  </si>
  <si>
    <t>06.4.00.00000</t>
  </si>
  <si>
    <t>06.4.4A.S2850</t>
  </si>
  <si>
    <t>06.4.4А.00000</t>
  </si>
  <si>
    <t>06.4.4А.S2700</t>
  </si>
  <si>
    <t>08.0.00.00000</t>
  </si>
  <si>
    <t>08.4.00.00000</t>
  </si>
  <si>
    <t>08.4.1Б.00000</t>
  </si>
  <si>
    <t>08.4.1Б.S2850</t>
  </si>
  <si>
    <t>АДМИНИСТРАЦИЯ МУНИЦИПАЛЬНОГО РАЙОНА "КНЯЖПОГОСТСКИЙ"</t>
  </si>
  <si>
    <t>923</t>
  </si>
  <si>
    <t>01.0.00.00000</t>
  </si>
  <si>
    <t>01.1.00.00000</t>
  </si>
  <si>
    <t>01.1.2Б.00000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</si>
  <si>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</si>
  <si>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01.1.2Б.S2190</t>
  </si>
  <si>
    <t>01.1.2Е.00000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</si>
  <si>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</si>
  <si>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01.1.I4.S2190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</si>
  <si>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</si>
  <si>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01.1.I5.55272</t>
  </si>
  <si>
    <t>01.3.00.00000</t>
  </si>
  <si>
    <t>01.3.1И.00000</t>
  </si>
  <si>
    <t>Реализация народных проектов в сфере АГРОПРОМЫШЛЕННОГО комплекса, прошедших отбор в рамках проекта "Народный бюджет"</t>
  </si>
  <si>
    <t>01.3.1И.S2550</t>
  </si>
  <si>
    <t>01.5.00.00000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</si>
  <si>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</si>
  <si>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01.5.1В.73060</t>
  </si>
  <si>
    <t>01.6.00.00000</t>
  </si>
  <si>
    <t>Реализация народных проектов в сфере ЗАНЯТОСТИ НАСЕЛЕНИЯ, прошедших отбор в рамках проекта "Народный бюджет"</t>
  </si>
  <si>
    <t>01.6.1В.S2540</t>
  </si>
  <si>
    <t>02.1.1A.64503</t>
  </si>
  <si>
    <t>02.1.1А.S2220</t>
  </si>
  <si>
    <t>02.1.1Б.00000</t>
  </si>
  <si>
    <t>02.1.1В.S2210</t>
  </si>
  <si>
    <t>02.1.1Г.64504</t>
  </si>
  <si>
    <t>02.1.1Н.64514</t>
  </si>
  <si>
    <t>02.1.1П.00000</t>
  </si>
  <si>
    <t>02.1.1Р.64514</t>
  </si>
  <si>
    <t>02.1.1С.64577</t>
  </si>
  <si>
    <t>02.2.00.00000</t>
  </si>
  <si>
    <t>02.2.2А.64578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</si>
  <si>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</si>
  <si>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03.1.1Д.51350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</si>
  <si>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</si>
  <si>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03.1.1Д.51760</t>
  </si>
  <si>
    <t>03.1.1М.00000</t>
  </si>
  <si>
    <t>03.1.1М.64571</t>
  </si>
  <si>
    <t>03.2.2Д.00000</t>
  </si>
  <si>
    <t>Проведение ремонтных работ по канализационным и инженерным сетям</t>
  </si>
  <si>
    <t>03.2.2Д.64572</t>
  </si>
  <si>
    <t>Реализация народных проектов в сфере БЛАГОУСТРОЙСТВА, прошедших отбор в рамках проекта "Народный проект"</t>
  </si>
  <si>
    <t>03.2.2Е.S2480</t>
  </si>
  <si>
    <t>03.2.2Ж.64572</t>
  </si>
  <si>
    <t>03.2.2И.00000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</si>
  <si>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</si>
  <si>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</si>
  <si>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</si>
  <si>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</si>
  <si>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</si>
  <si>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</si>
  <si>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</si>
  <si>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07.7.00.00000</t>
  </si>
  <si>
    <t>07.7.7А.00000</t>
  </si>
  <si>
    <t>08.3.00.00000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</si>
  <si>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</si>
  <si>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08.3.3Б.73120</t>
  </si>
  <si>
    <t>08.3.3Г.00000</t>
  </si>
  <si>
    <t>08.4.1Б.64579</t>
  </si>
  <si>
    <t>08.4.1Б.64581</t>
  </si>
  <si>
    <t>08.5.00.00000</t>
  </si>
  <si>
    <t>09.0.00.00000</t>
  </si>
  <si>
    <t>09.1.00.00000</t>
  </si>
  <si>
    <t>09.1.1А.00000</t>
  </si>
  <si>
    <t>09.1.1Б.00000</t>
  </si>
  <si>
    <t>09.1.1В.00000</t>
  </si>
  <si>
    <t>09.1.1Г.00000</t>
  </si>
  <si>
    <t>99.9.00.00200</t>
  </si>
  <si>
    <t>99.9.00.00410</t>
  </si>
  <si>
    <t>99.9.00.51200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</si>
  <si>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</si>
  <si>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99.9.00.73040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</si>
  <si>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</si>
  <si>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99.9.00.73070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</si>
  <si>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</si>
  <si>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99.9.00.73080</t>
  </si>
  <si>
    <t>99.9.00.92710</t>
  </si>
  <si>
    <t>УПРАВЛЕНИЕ ОБРАЗОВАНИЯ АДМИНИСТРАЦИИ МУНИЦИПАЛЬНОГО РАЙОНА "КНЯЖПОГОСТСКИЙ"</t>
  </si>
  <si>
    <t>975</t>
  </si>
  <si>
    <t>04.0.00.00000</t>
  </si>
  <si>
    <t>04.1.00.00000</t>
  </si>
  <si>
    <t>04.1.1A.S2850</t>
  </si>
  <si>
    <t>04.1.1А.00000</t>
  </si>
  <si>
    <t>04.1.1А.73010</t>
  </si>
  <si>
    <t>04.1.1В.00000</t>
  </si>
  <si>
    <t>04.1.1В.73020</t>
  </si>
  <si>
    <t>04.1.1Д.00000</t>
  </si>
  <si>
    <t>04.1.1Е.00000</t>
  </si>
  <si>
    <t>04.1.1М.00000</t>
  </si>
  <si>
    <t>04.2.00.00000</t>
  </si>
  <si>
    <t>04.2.2A.S2850</t>
  </si>
  <si>
    <t>04.2.2А.00000</t>
  </si>
  <si>
    <t>04.2.2А.73010</t>
  </si>
  <si>
    <t>04.2.2Б.00000</t>
  </si>
  <si>
    <t>04.2.2Б.73020</t>
  </si>
  <si>
    <t>04.2.2В.00000</t>
  </si>
  <si>
    <t>04.2.2Г.00000</t>
  </si>
  <si>
    <t>04.2.2Е.00000</t>
  </si>
  <si>
    <t>04.2.2Ж.00000</t>
  </si>
  <si>
    <t>04.2.2Р.S2000</t>
  </si>
  <si>
    <t>04.2.2У.00000</t>
  </si>
  <si>
    <t>04.3.00.00000</t>
  </si>
  <si>
    <t>04.3.3Д.00000</t>
  </si>
  <si>
    <t>04.3.3К.L4970</t>
  </si>
  <si>
    <t>04.3.3Л.00000</t>
  </si>
  <si>
    <t>04.3.3Л.S2700</t>
  </si>
  <si>
    <t>04.3.3Л.S2850</t>
  </si>
  <si>
    <t>04.3.3С.S2020</t>
  </si>
  <si>
    <t>04.4.00.00000</t>
  </si>
  <si>
    <t>04.4.4А.00000</t>
  </si>
  <si>
    <t>04.4.4А.S2040</t>
  </si>
  <si>
    <t>04.4.4Б.00000</t>
  </si>
  <si>
    <t>04.6.00.00000</t>
  </si>
  <si>
    <t>04.6.6А.00000</t>
  </si>
  <si>
    <t>08.1.00.00000</t>
  </si>
  <si>
    <t>08.1.1Б.73190</t>
  </si>
  <si>
    <t>08.2.00.00000</t>
  </si>
  <si>
    <t>08.2.2В.00000</t>
  </si>
  <si>
    <t>08.3.3Ж.S2010</t>
  </si>
  <si>
    <t>99.9.00.73050</t>
  </si>
  <si>
    <t>01.6.1В.00000</t>
  </si>
  <si>
    <t>Реализация народных проектов в сфере занятости населения</t>
  </si>
  <si>
    <t>02.1.1А.00000</t>
  </si>
  <si>
    <t>02.1.1В.00000</t>
  </si>
  <si>
    <t>02.1.1Г.00000</t>
  </si>
  <si>
    <t>03.2.2Е.00000</t>
  </si>
  <si>
    <t>Реализация народых проектов в сфере благоустройства</t>
  </si>
  <si>
    <t>04.2.2Р.00000</t>
  </si>
  <si>
    <t>04.3.3К.00000</t>
  </si>
  <si>
    <t>Обеспечение жильем молодых семей на территории МР "Княжпогостский"</t>
  </si>
  <si>
    <t>04.3.3С.00000</t>
  </si>
  <si>
    <t>Реализация народных проектов в сфере образования</t>
  </si>
  <si>
    <t>05.2.2А.00000</t>
  </si>
  <si>
    <t>Комплектование книжных и документных фондов</t>
  </si>
  <si>
    <t>05.4.4В.00000</t>
  </si>
  <si>
    <t>Приобретение специального оборудования, укрепление МТБ</t>
  </si>
  <si>
    <t>05.4.4Л.00000</t>
  </si>
  <si>
    <t>Реализация народного проекта в сфере культуры</t>
  </si>
  <si>
    <t>05.8.8В.00000</t>
  </si>
  <si>
    <t>Субсидия на укрепление материально-технической базы (ЦНК)</t>
  </si>
  <si>
    <t>08.3.3Б.00000</t>
  </si>
  <si>
    <t>Субвенция по отлову и содержанию безнадзорных животных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</si>
  <si>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муниципальных программ монопрофильных муниципальных образований</t>
  </si>
  <si>
    <t>01.1.2И.64582</t>
  </si>
  <si>
    <t>Содержание автомобильных дорог общего пользования местного значения (латынь)</t>
  </si>
  <si>
    <t>01.2.00.00000</t>
  </si>
  <si>
    <t>«Развитие въездного и внутреннего туризма на территории муниципального района «Княжпогостский»</t>
  </si>
  <si>
    <t>Рекламно-информационное обеспечение продвижения туристического продукта на внутреннем и внешнем рынках</t>
  </si>
  <si>
    <t>01.2.3Г.00000</t>
  </si>
  <si>
    <t>05.6.6А.S2690</t>
  </si>
  <si>
    <t>04.1.1А. S2700</t>
  </si>
  <si>
    <t>Обеспечение роста уровня оплаты труда педагогических работников муниципальных организаций образования</t>
  </si>
  <si>
    <t>04.2.2А .S2700</t>
  </si>
  <si>
    <t>от 24 декабря 2018г. № 302</t>
  </si>
  <si>
    <t>08.5.1Б.64583</t>
  </si>
  <si>
    <t>08.5.1А.64584</t>
  </si>
  <si>
    <t>04.1.1А.S2700</t>
  </si>
  <si>
    <t>04.2.2А.S2700</t>
  </si>
  <si>
    <t>Приложение № 4</t>
  </si>
  <si>
    <t xml:space="preserve">Ведомственная структура расходов бюджета муниципального района "Княжпогостский" на плановый период на 2020, 2021 годов </t>
  </si>
  <si>
    <t>Сумма, 2020 г.</t>
  </si>
  <si>
    <t>Сумма, 2021 г.</t>
  </si>
  <si>
    <t>Не использовать!!!Содержание автомобильных дорог общего пользования местного значения"</t>
  </si>
  <si>
    <t>Условно утверждаемые (утвержденные) расходы</t>
  </si>
  <si>
    <t>99.9.00.99990</t>
  </si>
  <si>
    <t>НЕ УКАЗАНО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</si>
  <si>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2020, 2021 годов </t>
  </si>
  <si>
    <t>Целевая статья</t>
  </si>
  <si>
    <t>Вид расходов</t>
  </si>
  <si>
    <t>01 0 00 00000</t>
  </si>
  <si>
    <t>01 5 00 00000</t>
  </si>
  <si>
    <t>01 5 1В 73060</t>
  </si>
  <si>
    <t>8 1 1</t>
  </si>
  <si>
    <t>02 0 00 00000</t>
  </si>
  <si>
    <t>02 1 00 00000</t>
  </si>
  <si>
    <t>02 1 1А 00000</t>
  </si>
  <si>
    <t>02 1 1А S2220</t>
  </si>
  <si>
    <t>02 1 1В S2210</t>
  </si>
  <si>
    <t>03 0 00 00000</t>
  </si>
  <si>
    <t>03 1 00 00000</t>
  </si>
  <si>
    <t>03 1 1В 00000</t>
  </si>
  <si>
    <t>03 1 1Г 00000</t>
  </si>
  <si>
    <t>03 1 1Д 51350</t>
  </si>
  <si>
    <t>03 1 1Д 51760</t>
  </si>
  <si>
    <t>03 1 1Е 00000</t>
  </si>
  <si>
    <t>03 1 1Е 73030</t>
  </si>
  <si>
    <t>03 1 1Е R0820</t>
  </si>
  <si>
    <t>03 2 00 00000</t>
  </si>
  <si>
    <t>03 2 2В 00000</t>
  </si>
  <si>
    <t>04 0 00 00000</t>
  </si>
  <si>
    <t>04 1 00 00000</t>
  </si>
  <si>
    <t>04 1 1А 00000</t>
  </si>
  <si>
    <t>04 1 1А 73010</t>
  </si>
  <si>
    <t>04 1 1В 00000</t>
  </si>
  <si>
    <t>04 1 1В 73020</t>
  </si>
  <si>
    <t>04 2 00 00000</t>
  </si>
  <si>
    <t>04 2 2А 00000</t>
  </si>
  <si>
    <t>04 2 2А 73010</t>
  </si>
  <si>
    <t>04 2 2Б 00000</t>
  </si>
  <si>
    <t>04 2 2Б 73020</t>
  </si>
  <si>
    <t>04 2 2Р S2000</t>
  </si>
  <si>
    <t>04 3 00 00000</t>
  </si>
  <si>
    <t>04 3 3Л 00000</t>
  </si>
  <si>
    <t>04 4 00 00000</t>
  </si>
  <si>
    <t>04 4 4А S2040</t>
  </si>
  <si>
    <t>04 6 00 00000</t>
  </si>
  <si>
    <t>04 6 6А 00000</t>
  </si>
  <si>
    <t>05 0 00 00000</t>
  </si>
  <si>
    <t>05 1 00 00000</t>
  </si>
  <si>
    <t>05 1 1В 00000</t>
  </si>
  <si>
    <t>05 2 00 00000</t>
  </si>
  <si>
    <t>05 2 2Б 00000</t>
  </si>
  <si>
    <t>05 2 2В 00000</t>
  </si>
  <si>
    <t>05 2 2Д 00000</t>
  </si>
  <si>
    <t>05 3 00 00000</t>
  </si>
  <si>
    <t>05 3 3Б 00000</t>
  </si>
  <si>
    <t>05 4 00 00000</t>
  </si>
  <si>
    <t>05 4 4А 00000</t>
  </si>
  <si>
    <t>05 4 4Б 00000</t>
  </si>
  <si>
    <t>05 5 00 00000</t>
  </si>
  <si>
    <t>05 5 5А 00000</t>
  </si>
  <si>
    <t>05 6 00 00000</t>
  </si>
  <si>
    <t>05 6 6А 00000</t>
  </si>
  <si>
    <t>05 8 00 00000</t>
  </si>
  <si>
    <t>05 8 8А 00000</t>
  </si>
  <si>
    <t>06 0 00 00000</t>
  </si>
  <si>
    <t>06 2 00 00000</t>
  </si>
  <si>
    <t>06 2 2Г 00000</t>
  </si>
  <si>
    <t>06 3 00 00000</t>
  </si>
  <si>
    <t>06 3 3Б 00000</t>
  </si>
  <si>
    <t>06 4 00 00000</t>
  </si>
  <si>
    <t>06 4 4А 00000</t>
  </si>
  <si>
    <t>07 0 00 00000</t>
  </si>
  <si>
    <t>07 3 00 00000</t>
  </si>
  <si>
    <t>07 3 3А 00000</t>
  </si>
  <si>
    <t>07 4 00 00000</t>
  </si>
  <si>
    <t>07 4 4Д 00000</t>
  </si>
  <si>
    <t>07 5 00 00000</t>
  </si>
  <si>
    <t>07 5 5А 00000</t>
  </si>
  <si>
    <t>07 5 5А 73110</t>
  </si>
  <si>
    <t>07 5 5Д 00000</t>
  </si>
  <si>
    <t>07 5 5Е 00000</t>
  </si>
  <si>
    <t>07 5 5Е 64502</t>
  </si>
  <si>
    <t>07 5 5Ж 00000</t>
  </si>
  <si>
    <t>07 7 00 00000</t>
  </si>
  <si>
    <t>07 7 7А 00000</t>
  </si>
  <si>
    <t>08 0 00 00000</t>
  </si>
  <si>
    <t>08 1 00 00000</t>
  </si>
  <si>
    <t>08 1 1Б 73190</t>
  </si>
  <si>
    <t>08 2 00 00000</t>
  </si>
  <si>
    <t>08 2 2В 00000</t>
  </si>
  <si>
    <t>08 3 00 00000</t>
  </si>
  <si>
    <t>08 3 3Б 73120</t>
  </si>
  <si>
    <t>99 0 00 00000</t>
  </si>
  <si>
    <t>99 9 00 00000</t>
  </si>
  <si>
    <t>99 9 00 00200</t>
  </si>
  <si>
    <t>99 9 00 00300</t>
  </si>
  <si>
    <t>99 9 00 51180</t>
  </si>
  <si>
    <t>99 9 00 51200</t>
  </si>
  <si>
    <t>99 9 00 59300</t>
  </si>
  <si>
    <t>99 9 00 64502</t>
  </si>
  <si>
    <t>99 9 00 73040</t>
  </si>
  <si>
    <t>99 9 00 73070</t>
  </si>
  <si>
    <t>99 9 00 73080</t>
  </si>
  <si>
    <t>99 9 00 73090</t>
  </si>
  <si>
    <t>99 9 00 73100</t>
  </si>
  <si>
    <t>99 9 00 73150</t>
  </si>
  <si>
    <t>99 9 00 73160</t>
  </si>
  <si>
    <t>99 9 00 82040</t>
  </si>
  <si>
    <t>99 9 00 92710</t>
  </si>
  <si>
    <t>99 9 00 92920</t>
  </si>
  <si>
    <t>99 9 00 99990</t>
  </si>
  <si>
    <t>0 0 0</t>
  </si>
  <si>
    <t>Приложение  №8</t>
  </si>
  <si>
    <t>к решению Совета муниципального</t>
  </si>
  <si>
    <t xml:space="preserve"> района  "Княжпогостский" </t>
  </si>
  <si>
    <t>от 24 декабря 2018г. №302</t>
  </si>
  <si>
    <t>бюджета муниципального района "Княжпогостский" на плановый период 2019-2020 годы</t>
  </si>
  <si>
    <t>2020 год</t>
  </si>
  <si>
    <t>2021 год</t>
  </si>
  <si>
    <t>02.1.1М.00000</t>
  </si>
  <si>
    <t>Организация межмуниципальных перевозок</t>
  </si>
  <si>
    <t>02 1 1В 00000</t>
  </si>
  <si>
    <t xml:space="preserve">Объём поступлений в бюджет муниципального района "Княжпогостский" на 2019 год и плановый период 2020 -2021 годов 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</si>
  <si>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</si>
  <si>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Код бюджетной классификации Российской Федерации</t>
  </si>
  <si>
    <t>5</t>
  </si>
  <si>
    <t>ДОХОДЫ</t>
  </si>
  <si>
    <t>НАЛОГОВЫЕ И НЕНАЛОГОВЫЕ ДОХОДЫ</t>
  </si>
  <si>
    <t xml:space="preserve">1 00 00 000 00 0000 000 </t>
  </si>
  <si>
    <t>Налоговые доходы</t>
  </si>
  <si>
    <t>НАЛОГИ НА ПРИБЫЛЬ, ДОХОДЫ</t>
  </si>
  <si>
    <t xml:space="preserve">1 01 00 000 00 0000 000 </t>
  </si>
  <si>
    <t>Налог на доходы физических лиц</t>
  </si>
  <si>
    <t xml:space="preserve">1 01 02 000 01 0000 110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</si>
  <si>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</si>
  <si>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1 01 02 010 01 0000 110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</si>
  <si>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</si>
  <si>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1 01 02 020 01 0000 110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</si>
  <si>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</si>
  <si>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1 01 02 030 01 0000 110 </t>
  </si>
  <si>
    <t>НАЛОГИ НА ТОВАРЫ (РАБОТЫ, УСЛУГИ), РЕАЛИЗУЕМЫЕ НА ТЕРРИТОРИИ РОССИЙСКОЙ ФЕДЕРАЦИИ</t>
  </si>
  <si>
    <t xml:space="preserve">1 03 00 000 00 0000 000 </t>
  </si>
  <si>
    <t>Акцизы по подакцизным товарам (продукции), производимым на территории Российской Федерации</t>
  </si>
  <si>
    <t xml:space="preserve">1 03 02 000 01 0000 110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</si>
  <si>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</si>
  <si>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</si>
  <si>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</si>
  <si>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1 03 02 231 01 0000 110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</si>
  <si>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</si>
  <si>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</si>
  <si>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</si>
  <si>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</si>
  <si>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</si>
  <si>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</si>
  <si>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</si>
  <si>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1 03 02 251 01 0000 110 </t>
  </si>
  <si>
    <t>НАЛОГИ НА СОВОКУПНЫЙ ДОХОД</t>
  </si>
  <si>
    <t xml:space="preserve">1 05 00 000 00 0000 000 </t>
  </si>
  <si>
    <t>Налог, взимаемый в связи с применением упрощенной системы налогообложения</t>
  </si>
  <si>
    <t xml:space="preserve">1 05 01 000 00 0000 110 </t>
  </si>
  <si>
    <t>Налог, взимаемый с налогоплательщиков, выбравших в качестве объекта налогообложения доходы</t>
  </si>
  <si>
    <t xml:space="preserve">1 05 01 010 01 0000 110 </t>
  </si>
  <si>
    <t xml:space="preserve">1 05 01 011 01 0000 110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</si>
  <si>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</si>
  <si>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</si>
  <si>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</si>
  <si>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1 05 01 021 01 0000 110 </t>
  </si>
  <si>
    <t>Единый налог на вмененный доход для отдельных видов деятельности</t>
  </si>
  <si>
    <t xml:space="preserve">1 05 02 000 02 0000 110 </t>
  </si>
  <si>
    <t xml:space="preserve">1 05 02 010 02 0000 110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</si>
  <si>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</si>
  <si>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1 05 02 020 02 0000 110 </t>
  </si>
  <si>
    <t>Единый сельскохозяйственный налог</t>
  </si>
  <si>
    <t xml:space="preserve">1 05 03 000 01 0000 110 </t>
  </si>
  <si>
    <t xml:space="preserve">1 05 03 010 01 0000 110 </t>
  </si>
  <si>
    <t>Налог, взимаемый в связи с применением патентной системы налогообложения</t>
  </si>
  <si>
    <t xml:space="preserve">1 05 04 000 02 0000 110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</si>
  <si>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</si>
  <si>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1 05 04 020 02 0000 110 </t>
  </si>
  <si>
    <t>НАЛОГИ НА ИМУЩЕСТВО</t>
  </si>
  <si>
    <t xml:space="preserve">1 06 00 000 00 0000 000 </t>
  </si>
  <si>
    <t>Земельный налог</t>
  </si>
  <si>
    <t xml:space="preserve">1 06 06 000 00 0000 110 </t>
  </si>
  <si>
    <t>Земельный налог с организаций</t>
  </si>
  <si>
    <t xml:space="preserve">1 06 06 030 00 0000 110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</si>
  <si>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</si>
  <si>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1 06 06 033 05 0000 110 </t>
  </si>
  <si>
    <t>Земельный налог с физических лиц</t>
  </si>
  <si>
    <t xml:space="preserve">1 06 06 040 00 0000 110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</si>
  <si>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</si>
  <si>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1 06 06 043 05 0000 110 </t>
  </si>
  <si>
    <t>ГОСУДАРСТВЕННАЯ ПОШЛИНА</t>
  </si>
  <si>
    <t xml:space="preserve">1 08 00 000 00 0000 000 </t>
  </si>
  <si>
    <t>Государственная пошлина по делам, рассматриваемым в судах общей юрисдикции, мировыми судьями</t>
  </si>
  <si>
    <t xml:space="preserve">1 08 03 000 01 0000 110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</si>
  <si>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</si>
  <si>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1 08 03 010 01 0000 110 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</si>
  <si>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</si>
  <si>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</si>
  <si>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1 11 00 000 00 0000 000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</si>
  <si>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</si>
  <si>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1 11 05 000 00 0000 120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</si>
  <si>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</si>
  <si>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</si>
  <si>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</si>
  <si>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</si>
  <si>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</si>
  <si>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</si>
  <si>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</si>
  <si>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1 11 05 020 00 0000 120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</si>
  <si>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</si>
  <si>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1 11 05 025 05 0000 120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</si>
  <si>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</si>
  <si>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1 11 05 070 00 0000 120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</si>
  <si>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</si>
  <si>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1 11 05 075 05 0000 120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</si>
  <si>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</si>
  <si>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1 11 09 000 00 0000 120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</si>
  <si>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</si>
  <si>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</si>
  <si>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</si>
  <si>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1 11 09 045 05 0000 120 </t>
  </si>
  <si>
    <t>ПЛАТЕЖИ ПРИ ПОЛЬЗОВАНИИ ПРИРОДНЫМИ РЕСУРСАМИ</t>
  </si>
  <si>
    <t xml:space="preserve">1 12 00 000 00 0000 000 </t>
  </si>
  <si>
    <t>Плата за негативное воздействие на окружающую среду</t>
  </si>
  <si>
    <t xml:space="preserve">1 12 01 000 01 0000 120 </t>
  </si>
  <si>
    <t>Плата за выбросы загрязняющих веществ в атмосферный воздух стационарными объектами</t>
  </si>
  <si>
    <t xml:space="preserve">1 12 01 010 01 0000 120 </t>
  </si>
  <si>
    <t>Плата за сбросы загрязняющих веществ в водные объекты</t>
  </si>
  <si>
    <t xml:space="preserve">1 12 01 030 01 0000 120 </t>
  </si>
  <si>
    <t>Плата за размещение отходов производства и потребления</t>
  </si>
  <si>
    <t xml:space="preserve">1 12 01 040 01 0000 120 </t>
  </si>
  <si>
    <t>ДОХОДЫ ОТ ОКАЗАНИЯ ПЛАТНЫХ УСЛУГ И КОМПЕНСАЦИИ ЗАТРАТ ГОСУДАРСТВА</t>
  </si>
  <si>
    <t xml:space="preserve">1 13 00 000 00 0000 000 </t>
  </si>
  <si>
    <t>Доходы от компенсации затрат государства</t>
  </si>
  <si>
    <t xml:space="preserve">1 13 02 000 00 0000 130 </t>
  </si>
  <si>
    <t>Прочие доходы от компенсации затрат государства</t>
  </si>
  <si>
    <t xml:space="preserve">1 13 02 990 00 0000 130 </t>
  </si>
  <si>
    <t>Прочие доходы от компенсации затрат бюджетов муниципальных районов</t>
  </si>
  <si>
    <t xml:space="preserve">1 13 02 995 05 0000 130 </t>
  </si>
  <si>
    <t>ДОХОДЫ ОТ ПРОДАЖИ МАТЕРИАЛЬНЫХ И НЕМАТЕРИАЛЬНЫХ АКТИВОВ</t>
  </si>
  <si>
    <t xml:space="preserve">1 14 00 000 00 0000 000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</si>
  <si>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</si>
  <si>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1 14 02 000 00 0000 000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</si>
  <si>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</si>
  <si>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1 14 02 050 05 0000 410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</si>
  <si>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</si>
  <si>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</si>
  <si>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продажи земельных участков, находящихся в государственной и муниципальной собственности</t>
  </si>
  <si>
    <t xml:space="preserve">1 14 06 000 00 0000 430 </t>
  </si>
  <si>
    <t>Доходы от продажи земельных участков, государственная собственность на которые не разграничена</t>
  </si>
  <si>
    <t xml:space="preserve">1 14 06 010 00 0000 430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</si>
  <si>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</si>
  <si>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</si>
  <si>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</si>
  <si>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1 14 06 013 13 0000 430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</si>
  <si>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</si>
  <si>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1 14 06 020 00 0000 430 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</si>
  <si>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</si>
  <si>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1 14 06 025 05 0000 430 </t>
  </si>
  <si>
    <t>ШТРАФЫ, САНКЦИИ, ВОЗМЕЩЕНИЕ УЩЕРБА</t>
  </si>
  <si>
    <t xml:space="preserve">1 16 00 000 00 0000 000 </t>
  </si>
  <si>
    <t>Денежные взыскания (штрафы) за нарушение законодательства о налогах и сборах</t>
  </si>
  <si>
    <t xml:space="preserve">1 16 03 000 00 0000 140 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</si>
  <si>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</si>
  <si>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1 16 03 010 01 0000 140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</si>
  <si>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</si>
  <si>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1 16 03 030 01 0000 140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</si>
  <si>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</si>
  <si>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</si>
  <si>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</si>
  <si>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1 16 08 010 01 0000 140 </t>
  </si>
  <si>
    <t>Денежные взыскания (штрафы) за нарушение бюджетного законодательства Российской Федерации</t>
  </si>
  <si>
    <t xml:space="preserve">1 16 18 000 00 0000 140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</si>
  <si>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</si>
  <si>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1 16 18 050 05 0000 140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</si>
  <si>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</si>
  <si>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1 16 25 000 00 0000 140 </t>
  </si>
  <si>
    <t>Денежные взыскания (штрафы) за нарушение законодательства Российской Федерации об особо охраняемых природных территориях</t>
  </si>
  <si>
    <t xml:space="preserve">1 16 25 020 01 0000 140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</si>
  <si>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</si>
  <si>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1 16 25 030 01 0000 140 </t>
  </si>
  <si>
    <t>Денежные взыскания (штрафы) за нарушение законодательства в области охраны окружающей среды</t>
  </si>
  <si>
    <t xml:space="preserve">1 16 25 050 01 0000 140 </t>
  </si>
  <si>
    <t>Денежные взыскания (штрафы) за нарушение земельного законодательства</t>
  </si>
  <si>
    <t xml:space="preserve">1 16 25 060 01 0000 140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</si>
  <si>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</si>
  <si>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1 16 28 000 01 0000 140 </t>
  </si>
  <si>
    <t>Денежные взыскания (штрафы) за правонарушения в области дорожного движения</t>
  </si>
  <si>
    <t xml:space="preserve">1 16 30 000 01 0000 140 </t>
  </si>
  <si>
    <t>Прочие денежные взыскания (штрафы) за правонарушения в области дорожного движения</t>
  </si>
  <si>
    <t xml:space="preserve">1 16 30 030 01 0000 140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</si>
  <si>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</si>
  <si>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</si>
  <si>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</si>
  <si>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1 16 33 050 05 0000 140 </t>
  </si>
  <si>
    <t>Суммы по искам о возмещении вреда, причиненного окружающей среде</t>
  </si>
  <si>
    <t xml:space="preserve">1 16 35 000 00 0000 140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</si>
  <si>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</si>
  <si>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1 16 35 030 05 0000 140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</si>
  <si>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</si>
  <si>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1 16 43 000 01 0000 140 </t>
  </si>
  <si>
    <t>Прочие поступления от денежных взысканий (штрафов) и иных сумм в возмещение ущерба</t>
  </si>
  <si>
    <t xml:space="preserve">1 16 90 000 00 0000 140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</si>
  <si>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</si>
  <si>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1 16 90 050 05 0000 140 </t>
  </si>
  <si>
    <t>БЕЗВОЗМЕЗДНЫЕ ПОСТУПЛЕНИЯ</t>
  </si>
  <si>
    <t xml:space="preserve">2 00 00 000 00 0000 000 </t>
  </si>
  <si>
    <t>БЕЗВОЗМЕЗДНЫЕ ПОСТУПЛЕНИЯ ОТ ДРУГИХ БЮДЖЕТОВ БЮДЖЕТНОЙ СИСТЕМЫ РОССИЙСКОЙ ФЕДЕРАЦИИ</t>
  </si>
  <si>
    <t xml:space="preserve">2 02 00 000 00 0000 000 </t>
  </si>
  <si>
    <t>Дотации бюджетам бюджетной системы Российской Федерации</t>
  </si>
  <si>
    <t xml:space="preserve">2 02 10 000 00 0000 150 </t>
  </si>
  <si>
    <t>Дотации на выравнивание бюджетной обеспеченности</t>
  </si>
  <si>
    <t xml:space="preserve">2 02 15 001 00 0000 150 </t>
  </si>
  <si>
    <t>Дотации бюджетам муниципальных районов на выравнивание бюджетной обеспеченности</t>
  </si>
  <si>
    <t xml:space="preserve">2 02 15 001 05 0000 150 </t>
  </si>
  <si>
    <t>Дотации бюджетам на поддержку мер по обеспечению сбалансированности бюджетов</t>
  </si>
  <si>
    <t xml:space="preserve">2 02 15 002 00 0000 150 </t>
  </si>
  <si>
    <t>Дотации бюджетам муниципальных районов на поддержку мер по обеспечению сбалансированности бюджетов</t>
  </si>
  <si>
    <t xml:space="preserve">2 02 15 002 05 0000 150 </t>
  </si>
  <si>
    <t>Субсидии бюджетам бюджетной системы Российской Федерации (межбюджетные субсидии)</t>
  </si>
  <si>
    <t xml:space="preserve">2 02 20 000 00 0000 150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</si>
  <si>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</si>
  <si>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2 02 20 299 00 0000 150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</si>
  <si>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</si>
  <si>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2 02 20 299 05 0000 150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</si>
  <si>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</si>
  <si>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2 02 20 302 00 0000 150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</si>
  <si>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</si>
  <si>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2 02 20 302 05 0000 150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</si>
  <si>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</si>
  <si>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2 02 25 467 00 0000 150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</si>
  <si>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</si>
  <si>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2 02 25 467 05 0000 150 </t>
  </si>
  <si>
    <t>Субсидии бюджетам на реализацию мероприятий по обеспечению жильем молодых семей</t>
  </si>
  <si>
    <t xml:space="preserve">2 02 25 497 00 0000 150 </t>
  </si>
  <si>
    <t>Субсидии бюджетам муниципальных районов на реализацию мероприятий по обеспечению жильем молодых семей</t>
  </si>
  <si>
    <t xml:space="preserve">2 02 25 497 05 0000 150 </t>
  </si>
  <si>
    <t>Субсидия бюджетам на поддержку отрасли культуры</t>
  </si>
  <si>
    <t xml:space="preserve">2 02 25 519 00 0000 150 </t>
  </si>
  <si>
    <t>Субсидия бюджетам муниципальных районов на поддержку отрасли культуры</t>
  </si>
  <si>
    <t xml:space="preserve">2 02 25 519 05 0000 150 </t>
  </si>
  <si>
    <t>Прочие субсидии</t>
  </si>
  <si>
    <t xml:space="preserve">2 02 29 999 00 0000 150 </t>
  </si>
  <si>
    <t>Прочие субсидии бюджетам муниципальных районов</t>
  </si>
  <si>
    <t xml:space="preserve">2 02 29 999 05 0000 150 </t>
  </si>
  <si>
    <t>Субвенции бюджетам бюджетной системы Российской Федерации</t>
  </si>
  <si>
    <t xml:space="preserve">2 02 30 000 00 0000 150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</si>
  <si>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</si>
  <si>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2 02 30 024 00 0000 150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</si>
  <si>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</si>
  <si>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2 02 30 024 05 0000 150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</si>
  <si>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</si>
  <si>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2 02 30 029 00 0000 150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</si>
  <si>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</si>
  <si>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2 02 30 029 05 0000 150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</si>
  <si>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</si>
  <si>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2 02 35 082 00 0000 150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</si>
  <si>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</si>
  <si>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</si>
  <si>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</si>
  <si>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2 02 35 118 00 0000 150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</si>
  <si>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</si>
  <si>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2 02 35 118 05 0000 150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</si>
  <si>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</si>
  <si>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2 02 35 120 00 0000 150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</si>
  <si>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</si>
  <si>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</si>
  <si>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</si>
  <si>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2 02 35 135 00 0000 150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</si>
  <si>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</si>
  <si>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2 02 35 135 05 0000 150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</si>
  <si>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</si>
  <si>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2 02 35 176 00 0000 150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</si>
  <si>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</si>
  <si>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2 02 35 176 05 0000 150 </t>
  </si>
  <si>
    <t>Субвенции бюджетам на государственную регистрацию актов гражданского состояния</t>
  </si>
  <si>
    <t xml:space="preserve">2 02 35 930 00 0000 150 </t>
  </si>
  <si>
    <t>Субвенции бюджетам муниципальных районов на государственную регистрацию актов гражданского состояния</t>
  </si>
  <si>
    <t xml:space="preserve">2 02 35 930 05 0000 150 </t>
  </si>
  <si>
    <t>Прочие субвенции</t>
  </si>
  <si>
    <t xml:space="preserve">2 02 39 999 00 0000 150 </t>
  </si>
  <si>
    <t>Прочие субвенции бюджетам муниципальных районов</t>
  </si>
  <si>
    <t xml:space="preserve">2 02 39 999 05 0000 150 </t>
  </si>
  <si>
    <t>Иные межбюджетные трансферты</t>
  </si>
  <si>
    <t xml:space="preserve">2 02 40 000 00 0000 150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</si>
  <si>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</si>
  <si>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2 02 40 014 00 0000 150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</si>
  <si>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</si>
  <si>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2 02 40 014 05 0000 150 </t>
  </si>
  <si>
    <t>ИТОГО ДОХОДОВ</t>
  </si>
  <si>
    <t>6</t>
  </si>
  <si>
    <t>Плата за размещение отходов производства</t>
  </si>
  <si>
    <t xml:space="preserve">1 12 01 041 01 0000 120 </t>
  </si>
  <si>
    <t>Приложение № 1</t>
  </si>
  <si>
    <t>Приложение №6</t>
  </si>
  <si>
    <t>Приложение  №7</t>
  </si>
  <si>
    <t>Приложение № 8</t>
  </si>
  <si>
    <t>Приложение  №2</t>
  </si>
  <si>
    <t>Приложение  №9</t>
  </si>
  <si>
    <t>от 28 ноября 2019 г. № 36</t>
  </si>
  <si>
    <t>05.8.8В.S2150</t>
  </si>
  <si>
    <t>Укрепление материально-технической базы муниципальных учреждений сферы культуры</t>
  </si>
  <si>
    <t>03.1.F3.67483</t>
  </si>
  <si>
    <t>03.1.F3.67484</t>
  </si>
  <si>
    <t>03.1.F3.6748S</t>
  </si>
  <si>
    <t>02 1 1П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</si>
</sst>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#,##0.0"/>
  </numFmts>
  <fonts count="36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4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i/>
      <sz val="12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8"/>
      <name val="Times New Roman CYR"/>
    </font>
    <font>
      <sz val="8"/>
      <color indexed="8"/>
      <name val="Times New Roman"/>
      <family val="1"/>
      <charset val="204"/>
    </font>
    <font>
      <sz val="8"/>
      <color indexed="8"/>
      <name val="Arial Cy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2" borderId="1"/>
    <xf numFmtId="0" fontId="16" fillId="2" borderId="1"/>
    <xf numFmtId="0" fontId="17" fillId="2" borderId="1"/>
    <xf numFmtId="0" fontId="3" fillId="2" borderId="1"/>
  </cellStyleXfs>
  <cellXfs count="279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165" fontId="10" fillId="2" borderId="6" xfId="0" applyNumberFormat="1" applyFont="1" applyFill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165" fontId="12" fillId="0" borderId="6" xfId="0" applyNumberFormat="1" applyFont="1" applyBorder="1" applyAlignment="1">
      <alignment vertical="top"/>
    </xf>
    <xf numFmtId="165" fontId="6" fillId="0" borderId="6" xfId="0" applyNumberFormat="1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165" fontId="6" fillId="2" borderId="6" xfId="0" applyNumberFormat="1" applyFont="1" applyFill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/>
    </xf>
    <xf numFmtId="49" fontId="14" fillId="0" borderId="1" xfId="0" applyNumberFormat="1" applyFont="1" applyBorder="1"/>
    <xf numFmtId="0" fontId="15" fillId="0" borderId="1" xfId="0" applyFont="1" applyBorder="1" applyAlignment="1">
      <alignment vertical="top"/>
    </xf>
    <xf numFmtId="166" fontId="14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4" fillId="2" borderId="0" xfId="0" applyFont="1" applyFill="1"/>
    <xf numFmtId="166" fontId="5" fillId="2" borderId="9" xfId="0" applyNumberFormat="1" applyFont="1" applyFill="1" applyBorder="1" applyAlignment="1">
      <alignment horizontal="right" wrapText="1"/>
    </xf>
    <xf numFmtId="0" fontId="13" fillId="2" borderId="6" xfId="3" applyFont="1" applyFill="1" applyBorder="1" applyAlignment="1">
      <alignment horizontal="center" wrapText="1"/>
    </xf>
    <xf numFmtId="0" fontId="13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0" fillId="2" borderId="1" xfId="0" applyFill="1" applyBorder="1"/>
    <xf numFmtId="0" fontId="13" fillId="2" borderId="2" xfId="3" applyFont="1" applyFill="1" applyBorder="1" applyAlignment="1">
      <alignment horizontal="left" wrapText="1"/>
    </xf>
    <xf numFmtId="165" fontId="5" fillId="2" borderId="3" xfId="0" applyNumberFormat="1" applyFont="1" applyFill="1" applyBorder="1"/>
    <xf numFmtId="165" fontId="5" fillId="2" borderId="2" xfId="0" applyNumberFormat="1" applyFont="1" applyFill="1" applyBorder="1"/>
    <xf numFmtId="0" fontId="5" fillId="2" borderId="7" xfId="3" applyFont="1" applyFill="1" applyBorder="1" applyAlignment="1">
      <alignment wrapText="1"/>
    </xf>
    <xf numFmtId="165" fontId="5" fillId="2" borderId="8" xfId="0" applyNumberFormat="1" applyFont="1" applyFill="1" applyBorder="1"/>
    <xf numFmtId="165" fontId="13" fillId="2" borderId="8" xfId="0" applyNumberFormat="1" applyFont="1" applyFill="1" applyBorder="1"/>
    <xf numFmtId="165" fontId="13" fillId="2" borderId="7" xfId="0" applyNumberFormat="1" applyFont="1" applyFill="1" applyBorder="1"/>
    <xf numFmtId="0" fontId="5" fillId="2" borderId="10" xfId="3" applyFont="1" applyFill="1" applyBorder="1" applyAlignment="1">
      <alignment wrapText="1"/>
    </xf>
    <xf numFmtId="165" fontId="5" fillId="2" borderId="11" xfId="0" applyNumberFormat="1" applyFont="1" applyFill="1" applyBorder="1"/>
    <xf numFmtId="165" fontId="5" fillId="2" borderId="10" xfId="0" applyNumberFormat="1" applyFont="1" applyFill="1" applyBorder="1"/>
    <xf numFmtId="165" fontId="0" fillId="2" borderId="7" xfId="0" applyNumberFormat="1" applyFill="1" applyBorder="1"/>
    <xf numFmtId="0" fontId="5" fillId="2" borderId="1" xfId="3" applyFont="1" applyFill="1" applyBorder="1" applyAlignment="1"/>
    <xf numFmtId="0" fontId="12" fillId="2" borderId="1" xfId="3" applyFont="1" applyFill="1" applyBorder="1" applyAlignment="1"/>
    <xf numFmtId="0" fontId="6" fillId="2" borderId="1" xfId="3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horizontal="right"/>
    </xf>
    <xf numFmtId="49" fontId="6" fillId="0" borderId="6" xfId="0" applyNumberFormat="1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justify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165" fontId="18" fillId="0" borderId="6" xfId="0" applyNumberFormat="1" applyFont="1" applyFill="1" applyBorder="1" applyAlignment="1">
      <alignment horizontal="right"/>
    </xf>
    <xf numFmtId="165" fontId="12" fillId="3" borderId="6" xfId="0" applyNumberFormat="1" applyFont="1" applyFill="1" applyBorder="1" applyAlignment="1">
      <alignment horizontal="right"/>
    </xf>
    <xf numFmtId="0" fontId="20" fillId="0" borderId="0" xfId="0" applyFont="1"/>
    <xf numFmtId="0" fontId="19" fillId="0" borderId="0" xfId="0" applyFont="1"/>
    <xf numFmtId="49" fontId="5" fillId="2" borderId="1" xfId="0" applyNumberFormat="1" applyFont="1" applyFill="1" applyBorder="1" applyAlignment="1">
      <alignment horizontal="right" vertical="center" wrapText="1"/>
    </xf>
    <xf numFmtId="0" fontId="21" fillId="2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12" fillId="3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justify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justify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right"/>
    </xf>
    <xf numFmtId="49" fontId="18" fillId="2" borderId="6" xfId="0" applyNumberFormat="1" applyFont="1" applyFill="1" applyBorder="1" applyAlignment="1">
      <alignment horizontal="justify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165" fontId="18" fillId="2" borderId="6" xfId="0" applyNumberFormat="1" applyFont="1" applyFill="1" applyBorder="1" applyAlignment="1">
      <alignment horizontal="right"/>
    </xf>
    <xf numFmtId="0" fontId="20" fillId="0" borderId="0" xfId="0" applyFont="1" applyFill="1"/>
    <xf numFmtId="164" fontId="6" fillId="2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justify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21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21" fillId="0" borderId="0" xfId="0" applyFont="1"/>
    <xf numFmtId="0" fontId="6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5" fillId="0" borderId="0" xfId="0" applyFont="1" applyFill="1"/>
    <xf numFmtId="49" fontId="6" fillId="0" borderId="6" xfId="0" applyNumberFormat="1" applyFont="1" applyFill="1" applyBorder="1" applyAlignment="1" applyProtection="1">
      <alignment horizontal="left" wrapText="1"/>
    </xf>
    <xf numFmtId="49" fontId="6" fillId="0" borderId="6" xfId="0" applyNumberFormat="1" applyFont="1" applyFill="1" applyBorder="1" applyAlignment="1" applyProtection="1">
      <alignment horizontal="center" wrapText="1"/>
    </xf>
    <xf numFmtId="165" fontId="6" fillId="0" borderId="6" xfId="0" applyNumberFormat="1" applyFont="1" applyFill="1" applyBorder="1" applyAlignment="1" applyProtection="1">
      <alignment horizontal="right" wrapText="1"/>
    </xf>
    <xf numFmtId="164" fontId="6" fillId="0" borderId="6" xfId="0" applyNumberFormat="1" applyFont="1" applyFill="1" applyBorder="1" applyAlignment="1" applyProtection="1">
      <alignment horizontal="left" wrapText="1"/>
    </xf>
    <xf numFmtId="164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165" fontId="6" fillId="0" borderId="6" xfId="0" applyNumberFormat="1" applyFont="1" applyFill="1" applyBorder="1" applyAlignment="1" applyProtection="1">
      <alignment horizontal="righ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12" fillId="4" borderId="6" xfId="0" applyNumberFormat="1" applyFont="1" applyFill="1" applyBorder="1" applyAlignment="1" applyProtection="1">
      <alignment horizontal="left" wrapText="1"/>
    </xf>
    <xf numFmtId="49" fontId="12" fillId="4" borderId="6" xfId="0" applyNumberFormat="1" applyFont="1" applyFill="1" applyBorder="1" applyAlignment="1" applyProtection="1">
      <alignment horizontal="center" wrapText="1"/>
    </xf>
    <xf numFmtId="165" fontId="12" fillId="4" borderId="6" xfId="0" applyNumberFormat="1" applyFont="1" applyFill="1" applyBorder="1" applyAlignment="1" applyProtection="1">
      <alignment horizontal="right" wrapText="1"/>
    </xf>
    <xf numFmtId="49" fontId="2" fillId="0" borderId="6" xfId="0" applyNumberFormat="1" applyFont="1" applyFill="1" applyBorder="1" applyAlignment="1">
      <alignment horizontal="justify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justify" vertical="center" wrapText="1"/>
    </xf>
    <xf numFmtId="49" fontId="23" fillId="0" borderId="6" xfId="0" applyNumberFormat="1" applyFont="1" applyFill="1" applyBorder="1" applyAlignment="1">
      <alignment horizontal="justify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165" fontId="23" fillId="0" borderId="6" xfId="0" applyNumberFormat="1" applyFont="1" applyFill="1" applyBorder="1" applyAlignment="1">
      <alignment horizontal="right"/>
    </xf>
    <xf numFmtId="0" fontId="18" fillId="5" borderId="0" xfId="0" applyFont="1" applyFill="1"/>
    <xf numFmtId="0" fontId="6" fillId="5" borderId="0" xfId="0" applyFont="1" applyFill="1"/>
    <xf numFmtId="0" fontId="25" fillId="5" borderId="0" xfId="0" applyFont="1" applyFill="1"/>
    <xf numFmtId="0" fontId="24" fillId="5" borderId="0" xfId="0" applyFont="1" applyFill="1"/>
    <xf numFmtId="49" fontId="6" fillId="0" borderId="13" xfId="0" applyNumberFormat="1" applyFont="1" applyFill="1" applyBorder="1" applyAlignment="1" applyProtection="1">
      <alignment horizontal="justify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165" fontId="12" fillId="3" borderId="6" xfId="0" applyNumberFormat="1" applyFont="1" applyFill="1" applyBorder="1" applyAlignment="1" applyProtection="1">
      <alignment horizontal="right"/>
    </xf>
    <xf numFmtId="0" fontId="12" fillId="0" borderId="0" xfId="0" applyFont="1"/>
    <xf numFmtId="49" fontId="12" fillId="0" borderId="6" xfId="0" applyNumberFormat="1" applyFont="1" applyFill="1" applyBorder="1" applyAlignment="1" applyProtection="1">
      <alignment horizontal="left" wrapText="1"/>
    </xf>
    <xf numFmtId="49" fontId="12" fillId="0" borderId="6" xfId="0" applyNumberFormat="1" applyFont="1" applyFill="1" applyBorder="1" applyAlignment="1" applyProtection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/>
    <xf numFmtId="49" fontId="26" fillId="0" borderId="6" xfId="0" applyNumberFormat="1" applyFont="1" applyFill="1" applyBorder="1" applyAlignment="1">
      <alignment horizontal="justify" vertical="center" wrapText="1"/>
    </xf>
    <xf numFmtId="165" fontId="12" fillId="0" borderId="0" xfId="0" applyNumberFormat="1" applyFont="1"/>
    <xf numFmtId="0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28" fillId="2" borderId="1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justify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justify" vertical="center" wrapText="1"/>
    </xf>
    <xf numFmtId="165" fontId="7" fillId="2" borderId="6" xfId="0" applyNumberFormat="1" applyFont="1" applyFill="1" applyBorder="1" applyAlignment="1">
      <alignment horizontal="right" wrapText="1"/>
    </xf>
    <xf numFmtId="165" fontId="20" fillId="0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49" fontId="10" fillId="2" borderId="6" xfId="0" applyNumberFormat="1" applyFont="1" applyFill="1" applyBorder="1" applyAlignment="1">
      <alignment horizontal="center" vertical="center" wrapText="1"/>
    </xf>
    <xf numFmtId="0" fontId="5" fillId="2" borderId="1" xfId="1" applyFont="1" applyFill="1" applyAlignment="1">
      <alignment horizontal="right"/>
    </xf>
    <xf numFmtId="0" fontId="3" fillId="2" borderId="1" xfId="1"/>
    <xf numFmtId="0" fontId="4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 vertical="center" wrapText="1"/>
    </xf>
    <xf numFmtId="0" fontId="29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0" fillId="3" borderId="6" xfId="4" applyNumberFormat="1" applyFont="1" applyFill="1" applyBorder="1" applyAlignment="1">
      <alignment horizontal="justify" vertical="center" wrapText="1"/>
    </xf>
    <xf numFmtId="49" fontId="10" fillId="3" borderId="6" xfId="4" applyNumberFormat="1" applyFont="1" applyFill="1" applyBorder="1" applyAlignment="1">
      <alignment horizontal="center" vertical="center" wrapText="1"/>
    </xf>
    <xf numFmtId="165" fontId="10" fillId="3" borderId="6" xfId="4" applyNumberFormat="1" applyFont="1" applyFill="1" applyBorder="1" applyAlignment="1">
      <alignment horizontal="right"/>
    </xf>
    <xf numFmtId="49" fontId="10" fillId="2" borderId="6" xfId="4" applyNumberFormat="1" applyFont="1" applyFill="1" applyBorder="1" applyAlignment="1">
      <alignment horizontal="justify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165" fontId="10" fillId="2" borderId="6" xfId="4" applyNumberFormat="1" applyFont="1" applyFill="1" applyBorder="1" applyAlignment="1">
      <alignment horizontal="right"/>
    </xf>
    <xf numFmtId="49" fontId="2" fillId="2" borderId="6" xfId="4" applyNumberFormat="1" applyFont="1" applyFill="1" applyBorder="1" applyAlignment="1">
      <alignment horizontal="justify" vertical="center" wrapText="1"/>
    </xf>
    <xf numFmtId="49" fontId="2" fillId="2" borderId="6" xfId="4" applyNumberFormat="1" applyFont="1" applyFill="1" applyBorder="1" applyAlignment="1">
      <alignment horizontal="center" vertical="center" wrapText="1"/>
    </xf>
    <xf numFmtId="165" fontId="2" fillId="2" borderId="6" xfId="4" applyNumberFormat="1" applyFont="1" applyFill="1" applyBorder="1" applyAlignment="1">
      <alignment horizontal="right"/>
    </xf>
    <xf numFmtId="49" fontId="23" fillId="2" borderId="6" xfId="4" applyNumberFormat="1" applyFont="1" applyFill="1" applyBorder="1" applyAlignment="1">
      <alignment horizontal="justify" vertical="center" wrapText="1"/>
    </xf>
    <xf numFmtId="49" fontId="23" fillId="2" borderId="6" xfId="4" applyNumberFormat="1" applyFont="1" applyFill="1" applyBorder="1" applyAlignment="1">
      <alignment horizontal="center" vertical="center" wrapText="1"/>
    </xf>
    <xf numFmtId="165" fontId="23" fillId="2" borderId="6" xfId="4" applyNumberFormat="1" applyFont="1" applyFill="1" applyBorder="1" applyAlignment="1">
      <alignment horizontal="right"/>
    </xf>
    <xf numFmtId="49" fontId="10" fillId="4" borderId="6" xfId="4" applyNumberFormat="1" applyFont="1" applyFill="1" applyBorder="1" applyAlignment="1">
      <alignment horizontal="justify" vertical="center" wrapText="1"/>
    </xf>
    <xf numFmtId="49" fontId="10" fillId="4" borderId="6" xfId="4" applyNumberFormat="1" applyFont="1" applyFill="1" applyBorder="1" applyAlignment="1">
      <alignment horizontal="center" vertical="center" wrapText="1"/>
    </xf>
    <xf numFmtId="165" fontId="10" fillId="4" borderId="6" xfId="4" applyNumberFormat="1" applyFont="1" applyFill="1" applyBorder="1" applyAlignment="1">
      <alignment horizontal="right"/>
    </xf>
    <xf numFmtId="164" fontId="2" fillId="2" borderId="6" xfId="4" applyNumberFormat="1" applyFont="1" applyFill="1" applyBorder="1" applyAlignment="1">
      <alignment horizontal="justify" vertical="center" wrapText="1"/>
    </xf>
    <xf numFmtId="49" fontId="2" fillId="2" borderId="6" xfId="0" applyNumberFormat="1" applyFont="1" applyFill="1" applyBorder="1" applyAlignment="1">
      <alignment horizontal="justify" vertical="center" wrapText="1"/>
    </xf>
    <xf numFmtId="165" fontId="2" fillId="2" borderId="6" xfId="0" applyNumberFormat="1" applyFont="1" applyFill="1" applyBorder="1" applyAlignment="1">
      <alignment horizontal="right"/>
    </xf>
    <xf numFmtId="49" fontId="23" fillId="2" borderId="6" xfId="0" applyNumberFormat="1" applyFont="1" applyFill="1" applyBorder="1" applyAlignment="1">
      <alignment horizontal="justify" vertical="center" wrapText="1"/>
    </xf>
    <xf numFmtId="49" fontId="23" fillId="2" borderId="6" xfId="0" applyNumberFormat="1" applyFont="1" applyFill="1" applyBorder="1" applyAlignment="1">
      <alignment horizontal="center" vertical="center" wrapText="1"/>
    </xf>
    <xf numFmtId="165" fontId="23" fillId="2" borderId="6" xfId="0" applyNumberFormat="1" applyFont="1" applyFill="1" applyBorder="1" applyAlignment="1">
      <alignment horizontal="right"/>
    </xf>
    <xf numFmtId="0" fontId="30" fillId="2" borderId="6" xfId="0" applyNumberFormat="1" applyFont="1" applyFill="1" applyBorder="1" applyAlignment="1">
      <alignment horizontal="center" vertical="center"/>
    </xf>
    <xf numFmtId="49" fontId="31" fillId="3" borderId="6" xfId="0" applyNumberFormat="1" applyFont="1" applyFill="1" applyBorder="1" applyAlignment="1" applyProtection="1">
      <alignment horizontal="center"/>
    </xf>
    <xf numFmtId="165" fontId="31" fillId="3" borderId="6" xfId="0" applyNumberFormat="1" applyFont="1" applyFill="1" applyBorder="1" applyAlignment="1" applyProtection="1">
      <alignment horizontal="right"/>
    </xf>
    <xf numFmtId="49" fontId="31" fillId="4" borderId="6" xfId="0" applyNumberFormat="1" applyFont="1" applyFill="1" applyBorder="1" applyAlignment="1" applyProtection="1">
      <alignment horizontal="left" vertical="center" wrapText="1"/>
    </xf>
    <xf numFmtId="49" fontId="31" fillId="4" borderId="6" xfId="0" applyNumberFormat="1" applyFont="1" applyFill="1" applyBorder="1" applyAlignment="1" applyProtection="1">
      <alignment horizontal="center" vertical="center" wrapText="1"/>
    </xf>
    <xf numFmtId="165" fontId="31" fillId="4" borderId="6" xfId="0" applyNumberFormat="1" applyFont="1" applyFill="1" applyBorder="1" applyAlignment="1" applyProtection="1">
      <alignment horizontal="right" vertical="center" wrapText="1"/>
    </xf>
    <xf numFmtId="49" fontId="32" fillId="0" borderId="6" xfId="0" applyNumberFormat="1" applyFont="1" applyBorder="1" applyAlignment="1" applyProtection="1">
      <alignment horizontal="left" vertical="center" wrapText="1"/>
    </xf>
    <xf numFmtId="49" fontId="32" fillId="0" borderId="6" xfId="0" applyNumberFormat="1" applyFont="1" applyBorder="1" applyAlignment="1" applyProtection="1">
      <alignment horizontal="center" vertical="center" wrapText="1"/>
    </xf>
    <xf numFmtId="165" fontId="32" fillId="0" borderId="6" xfId="0" applyNumberFormat="1" applyFont="1" applyBorder="1" applyAlignment="1" applyProtection="1">
      <alignment horizontal="right" vertical="center" wrapText="1"/>
    </xf>
    <xf numFmtId="0" fontId="0" fillId="0" borderId="0" xfId="0" applyFont="1"/>
    <xf numFmtId="164" fontId="32" fillId="0" borderId="6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5" xfId="0" applyFont="1" applyBorder="1"/>
    <xf numFmtId="0" fontId="5" fillId="0" borderId="3" xfId="0" applyFont="1" applyBorder="1"/>
    <xf numFmtId="0" fontId="5" fillId="2" borderId="11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1" fillId="2" borderId="11" xfId="0" applyFont="1" applyFill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49" fontId="5" fillId="0" borderId="5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13" fillId="0" borderId="6" xfId="0" applyFont="1" applyBorder="1" applyAlignment="1">
      <alignment vertical="top" wrapText="1"/>
    </xf>
    <xf numFmtId="165" fontId="13" fillId="0" borderId="6" xfId="0" applyNumberFormat="1" applyFont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9" fontId="5" fillId="0" borderId="1" xfId="0" applyNumberFormat="1" applyFont="1" applyBorder="1"/>
    <xf numFmtId="0" fontId="5" fillId="0" borderId="1" xfId="0" applyFont="1" applyBorder="1"/>
    <xf numFmtId="166" fontId="5" fillId="0" borderId="1" xfId="0" applyNumberFormat="1" applyFont="1" applyBorder="1"/>
    <xf numFmtId="49" fontId="6" fillId="2" borderId="6" xfId="4" applyNumberFormat="1" applyFont="1" applyFill="1" applyBorder="1" applyAlignment="1">
      <alignment horizontal="justify" vertical="center" wrapText="1"/>
    </xf>
    <xf numFmtId="49" fontId="6" fillId="2" borderId="6" xfId="4" applyNumberFormat="1" applyFont="1" applyFill="1" applyBorder="1" applyAlignment="1">
      <alignment horizontal="center" vertical="center" wrapText="1"/>
    </xf>
    <xf numFmtId="49" fontId="18" fillId="2" borderId="6" xfId="4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justify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justify" vertical="center" wrapText="1"/>
    </xf>
    <xf numFmtId="49" fontId="33" fillId="2" borderId="6" xfId="0" applyNumberFormat="1" applyFont="1" applyFill="1" applyBorder="1" applyAlignment="1">
      <alignment horizontal="center" vertical="center" wrapText="1"/>
    </xf>
    <xf numFmtId="165" fontId="33" fillId="2" borderId="6" xfId="0" applyNumberFormat="1" applyFont="1" applyFill="1" applyBorder="1" applyAlignment="1">
      <alignment horizontal="right" wrapText="1"/>
    </xf>
    <xf numFmtId="164" fontId="35" fillId="2" borderId="6" xfId="0" applyNumberFormat="1" applyFont="1" applyFill="1" applyBorder="1" applyAlignment="1">
      <alignment horizontal="justify" vertical="center" wrapText="1"/>
    </xf>
    <xf numFmtId="49" fontId="35" fillId="2" borderId="6" xfId="0" applyNumberFormat="1" applyFont="1" applyFill="1" applyBorder="1" applyAlignment="1">
      <alignment horizontal="center" vertical="center" wrapText="1"/>
    </xf>
    <xf numFmtId="165" fontId="35" fillId="2" borderId="6" xfId="0" applyNumberFormat="1" applyFont="1" applyFill="1" applyBorder="1" applyAlignment="1">
      <alignment horizontal="right" wrapText="1"/>
    </xf>
    <xf numFmtId="164" fontId="34" fillId="2" borderId="6" xfId="0" applyNumberFormat="1" applyFont="1" applyFill="1" applyBorder="1" applyAlignment="1">
      <alignment horizontal="justify" vertical="center" wrapText="1"/>
    </xf>
    <xf numFmtId="49" fontId="34" fillId="2" borderId="6" xfId="0" applyNumberFormat="1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right" wrapText="1"/>
    </xf>
    <xf numFmtId="164" fontId="2" fillId="2" borderId="6" xfId="0" applyNumberFormat="1" applyFont="1" applyFill="1" applyBorder="1" applyAlignment="1">
      <alignment horizontal="justify" vertical="center" wrapText="1"/>
    </xf>
    <xf numFmtId="165" fontId="2" fillId="2" borderId="6" xfId="0" applyNumberFormat="1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49" fontId="4" fillId="2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5" fontId="6" fillId="0" borderId="0" xfId="0" applyNumberFormat="1" applyFont="1" applyFill="1"/>
    <xf numFmtId="4" fontId="1" fillId="3" borderId="6" xfId="0" applyNumberFormat="1" applyFont="1" applyFill="1" applyBorder="1" applyAlignment="1">
      <alignment horizontal="right"/>
    </xf>
    <xf numFmtId="49" fontId="33" fillId="4" borderId="6" xfId="0" applyNumberFormat="1" applyFont="1" applyFill="1" applyBorder="1" applyAlignment="1">
      <alignment horizontal="center" vertical="center" wrapText="1"/>
    </xf>
    <xf numFmtId="164" fontId="33" fillId="4" borderId="6" xfId="0" applyNumberFormat="1" applyFont="1" applyFill="1" applyBorder="1" applyAlignment="1">
      <alignment horizontal="justify" vertical="center" wrapText="1"/>
    </xf>
    <xf numFmtId="165" fontId="33" fillId="4" borderId="6" xfId="0" applyNumberFormat="1" applyFont="1" applyFill="1" applyBorder="1" applyAlignment="1">
      <alignment horizontal="right" wrapText="1"/>
    </xf>
    <xf numFmtId="165" fontId="35" fillId="4" borderId="6" xfId="0" applyNumberFormat="1" applyFont="1" applyFill="1" applyBorder="1" applyAlignment="1">
      <alignment horizontal="right" wrapText="1"/>
    </xf>
    <xf numFmtId="49" fontId="34" fillId="4" borderId="6" xfId="0" applyNumberFormat="1" applyFont="1" applyFill="1" applyBorder="1" applyAlignment="1">
      <alignment horizontal="center" vertical="center" wrapText="1"/>
    </xf>
    <xf numFmtId="164" fontId="34" fillId="4" borderId="6" xfId="0" applyNumberFormat="1" applyFont="1" applyFill="1" applyBorder="1" applyAlignment="1">
      <alignment horizontal="justify" vertical="center" wrapText="1"/>
    </xf>
    <xf numFmtId="165" fontId="34" fillId="4" borderId="6" xfId="0" applyNumberFormat="1" applyFont="1" applyFill="1" applyBorder="1" applyAlignment="1">
      <alignment horizontal="right" wrapText="1"/>
    </xf>
    <xf numFmtId="49" fontId="35" fillId="0" borderId="6" xfId="0" applyNumberFormat="1" applyFont="1" applyFill="1" applyBorder="1" applyAlignment="1">
      <alignment horizontal="center" vertical="center" wrapText="1"/>
    </xf>
    <xf numFmtId="164" fontId="35" fillId="0" borderId="6" xfId="0" applyNumberFormat="1" applyFont="1" applyFill="1" applyBorder="1" applyAlignment="1">
      <alignment horizontal="justify" vertical="center" wrapText="1"/>
    </xf>
    <xf numFmtId="165" fontId="35" fillId="0" borderId="6" xfId="0" applyNumberFormat="1" applyFont="1" applyFill="1" applyBorder="1" applyAlignment="1">
      <alignment horizontal="right" wrapText="1"/>
    </xf>
    <xf numFmtId="164" fontId="1" fillId="3" borderId="5" xfId="0" applyNumberFormat="1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horizontal="left" vertical="center" wrapText="1"/>
    </xf>
    <xf numFmtId="164" fontId="35" fillId="4" borderId="5" xfId="0" applyNumberFormat="1" applyFont="1" applyFill="1" applyBorder="1" applyAlignment="1">
      <alignment horizontal="left" vertical="center" wrapText="1"/>
    </xf>
    <xf numFmtId="164" fontId="35" fillId="4" borderId="12" xfId="0" applyNumberFormat="1" applyFont="1" applyFill="1" applyBorder="1" applyAlignment="1">
      <alignment horizontal="left" vertical="center" wrapText="1"/>
    </xf>
    <xf numFmtId="49" fontId="34" fillId="2" borderId="6" xfId="0" applyNumberFormat="1" applyFont="1" applyFill="1" applyBorder="1" applyAlignment="1">
      <alignment horizontal="center" vertical="center" wrapText="1"/>
    </xf>
    <xf numFmtId="0" fontId="34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0" fontId="33" fillId="2" borderId="1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12" fillId="3" borderId="6" xfId="0" applyNumberFormat="1" applyFont="1" applyFill="1" applyBorder="1" applyAlignment="1" applyProtection="1">
      <alignment horizontal="left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13" fillId="2" borderId="1" xfId="3" applyNumberFormat="1" applyFont="1" applyFill="1" applyBorder="1" applyAlignment="1">
      <alignment horizontal="center" wrapText="1" shrinkToFit="1"/>
    </xf>
    <xf numFmtId="0" fontId="11" fillId="0" borderId="0" xfId="0" applyFont="1" applyAlignment="1">
      <alignment wrapText="1"/>
    </xf>
    <xf numFmtId="0" fontId="5" fillId="2" borderId="0" xfId="0" applyFont="1" applyFill="1" applyAlignment="1">
      <alignment horizontal="right" wrapText="1"/>
    </xf>
    <xf numFmtId="0" fontId="1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/>
    </xf>
    <xf numFmtId="0" fontId="13" fillId="2" borderId="1" xfId="3" applyFont="1" applyFill="1" applyBorder="1" applyAlignment="1">
      <alignment horizontal="center" wrapText="1"/>
    </xf>
    <xf numFmtId="0" fontId="5" fillId="2" borderId="1" xfId="1" applyFont="1" applyFill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31" fillId="3" borderId="6" xfId="0" applyNumberFormat="1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4" xfId="4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152"/>
  <sheetViews>
    <sheetView tabSelected="1"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30.42578125" customWidth="1"/>
    <col min="2" max="2" width="78.5703125" customWidth="1"/>
    <col min="3" max="3" width="19" customWidth="1"/>
    <col min="4" max="5" width="11" bestFit="1" customWidth="1"/>
  </cols>
  <sheetData>
    <row r="1" spans="1:4" ht="18.75" x14ac:dyDescent="0.3">
      <c r="A1" s="238" t="s">
        <v>900</v>
      </c>
      <c r="B1" s="238"/>
      <c r="C1" s="238"/>
      <c r="D1" s="217"/>
    </row>
    <row r="2" spans="1:4" ht="18.75" x14ac:dyDescent="0.3">
      <c r="A2" s="238" t="s">
        <v>14</v>
      </c>
      <c r="B2" s="238"/>
      <c r="C2" s="238"/>
      <c r="D2" s="217"/>
    </row>
    <row r="3" spans="1:4" ht="18.75" x14ac:dyDescent="0.3">
      <c r="A3" s="238" t="s">
        <v>228</v>
      </c>
      <c r="B3" s="238"/>
      <c r="C3" s="238"/>
      <c r="D3" s="217"/>
    </row>
    <row r="4" spans="1:4" ht="18.75" x14ac:dyDescent="0.3">
      <c r="A4" s="238" t="s">
        <v>906</v>
      </c>
      <c r="B4" s="238"/>
      <c r="C4" s="238"/>
      <c r="D4" s="217"/>
    </row>
    <row r="5" spans="1:4" ht="18.75" x14ac:dyDescent="0.3">
      <c r="A5" s="6"/>
      <c r="B5" s="65"/>
      <c r="C5" s="7"/>
      <c r="D5" s="65"/>
    </row>
    <row r="6" spans="1:4" ht="18.75" x14ac:dyDescent="0.3">
      <c r="A6" s="238" t="s">
        <v>900</v>
      </c>
      <c r="B6" s="238"/>
      <c r="C6" s="238"/>
      <c r="D6" s="217"/>
    </row>
    <row r="7" spans="1:4" ht="18.75" x14ac:dyDescent="0.3">
      <c r="A7" s="238" t="s">
        <v>14</v>
      </c>
      <c r="B7" s="238"/>
      <c r="C7" s="238"/>
      <c r="D7" s="217"/>
    </row>
    <row r="8" spans="1:4" ht="18.75" x14ac:dyDescent="0.3">
      <c r="A8" s="238" t="s">
        <v>228</v>
      </c>
      <c r="B8" s="238"/>
      <c r="C8" s="238"/>
      <c r="D8" s="217"/>
    </row>
    <row r="9" spans="1:4" ht="18.75" x14ac:dyDescent="0.3">
      <c r="A9" s="238" t="s">
        <v>230</v>
      </c>
      <c r="B9" s="238"/>
      <c r="C9" s="238"/>
      <c r="D9" s="217"/>
    </row>
    <row r="10" spans="1:4" ht="36.950000000000003" customHeight="1" x14ac:dyDescent="0.25">
      <c r="A10" s="239" t="s">
        <v>628</v>
      </c>
      <c r="B10" s="239"/>
      <c r="C10" s="239"/>
    </row>
    <row r="12" spans="1:4" ht="18" customHeight="1" x14ac:dyDescent="0.25">
      <c r="A12" s="130"/>
      <c r="C12" s="130" t="s">
        <v>0</v>
      </c>
    </row>
    <row r="13" spans="1:4" ht="21.2" customHeight="1" x14ac:dyDescent="0.25">
      <c r="A13" s="236" t="s">
        <v>630</v>
      </c>
      <c r="B13" s="236" t="s">
        <v>629</v>
      </c>
      <c r="C13" s="236" t="s">
        <v>5</v>
      </c>
    </row>
    <row r="14" spans="1:4" ht="21.2" customHeight="1" x14ac:dyDescent="0.25">
      <c r="A14" s="236"/>
      <c r="B14" s="236"/>
      <c r="C14" s="237"/>
    </row>
    <row r="15" spans="1:4" ht="21.2" customHeight="1" x14ac:dyDescent="0.25">
      <c r="A15" s="236"/>
      <c r="B15" s="236"/>
      <c r="C15" s="237"/>
    </row>
    <row r="16" spans="1:4" ht="18.399999999999999" hidden="1" customHeight="1" x14ac:dyDescent="0.25">
      <c r="A16" s="201" t="s">
        <v>3</v>
      </c>
      <c r="B16" s="201" t="s">
        <v>1</v>
      </c>
      <c r="C16" s="201" t="s">
        <v>631</v>
      </c>
    </row>
    <row r="17" spans="1:3" ht="18.399999999999999" customHeight="1" x14ac:dyDescent="0.3">
      <c r="A17" s="232" t="s">
        <v>632</v>
      </c>
      <c r="B17" s="233"/>
      <c r="C17" s="221"/>
    </row>
    <row r="18" spans="1:3" ht="25.5" customHeight="1" x14ac:dyDescent="0.3">
      <c r="A18" s="222" t="s">
        <v>634</v>
      </c>
      <c r="B18" s="223" t="s">
        <v>633</v>
      </c>
      <c r="C18" s="224">
        <v>298323.40999999997</v>
      </c>
    </row>
    <row r="19" spans="1:3" ht="15.75" customHeight="1" x14ac:dyDescent="0.25">
      <c r="A19" s="234" t="s">
        <v>635</v>
      </c>
      <c r="B19" s="235"/>
      <c r="C19" s="225">
        <v>275113.25300000003</v>
      </c>
    </row>
    <row r="20" spans="1:3" ht="18" customHeight="1" x14ac:dyDescent="0.25">
      <c r="A20" s="212" t="s">
        <v>637</v>
      </c>
      <c r="B20" s="211" t="s">
        <v>636</v>
      </c>
      <c r="C20" s="213">
        <v>247169.13500000001</v>
      </c>
    </row>
    <row r="21" spans="1:3" ht="21" customHeight="1" x14ac:dyDescent="0.25">
      <c r="A21" s="209" t="s">
        <v>639</v>
      </c>
      <c r="B21" s="208" t="s">
        <v>638</v>
      </c>
      <c r="C21" s="210">
        <v>247169.13500000001</v>
      </c>
    </row>
    <row r="22" spans="1:3" ht="66" customHeight="1" x14ac:dyDescent="0.25">
      <c r="A22" s="209" t="s">
        <v>641</v>
      </c>
      <c r="B22" s="208" t="s">
        <v>640</v>
      </c>
      <c r="C22" s="210">
        <v>246047.58900000001</v>
      </c>
    </row>
    <row r="23" spans="1:3" ht="96" customHeight="1" x14ac:dyDescent="0.25">
      <c r="A23" s="209" t="s">
        <v>643</v>
      </c>
      <c r="B23" s="208" t="s">
        <v>642</v>
      </c>
      <c r="C23" s="210">
        <v>351.54599999999999</v>
      </c>
    </row>
    <row r="24" spans="1:3" ht="33.75" customHeight="1" x14ac:dyDescent="0.25">
      <c r="A24" s="209" t="s">
        <v>645</v>
      </c>
      <c r="B24" s="208" t="s">
        <v>644</v>
      </c>
      <c r="C24" s="210">
        <v>770</v>
      </c>
    </row>
    <row r="25" spans="1:3" ht="31.7" customHeight="1" x14ac:dyDescent="0.25">
      <c r="A25" s="212" t="s">
        <v>647</v>
      </c>
      <c r="B25" s="211" t="s">
        <v>646</v>
      </c>
      <c r="C25" s="213">
        <v>9852.1329999999998</v>
      </c>
    </row>
    <row r="26" spans="1:3" ht="31.7" customHeight="1" x14ac:dyDescent="0.25">
      <c r="A26" s="209" t="s">
        <v>649</v>
      </c>
      <c r="B26" s="208" t="s">
        <v>648</v>
      </c>
      <c r="C26" s="210">
        <v>9852.1329999999998</v>
      </c>
    </row>
    <row r="27" spans="1:3" ht="63.75" customHeight="1" x14ac:dyDescent="0.25">
      <c r="A27" s="209" t="s">
        <v>651</v>
      </c>
      <c r="B27" s="208" t="s">
        <v>650</v>
      </c>
      <c r="C27" s="210">
        <v>3572.6410000000001</v>
      </c>
    </row>
    <row r="28" spans="1:3" ht="96" customHeight="1" x14ac:dyDescent="0.25">
      <c r="A28" s="209" t="s">
        <v>653</v>
      </c>
      <c r="B28" s="208" t="s">
        <v>652</v>
      </c>
      <c r="C28" s="210">
        <v>3572.6410000000001</v>
      </c>
    </row>
    <row r="29" spans="1:3" ht="81" customHeight="1" x14ac:dyDescent="0.25">
      <c r="A29" s="209" t="s">
        <v>655</v>
      </c>
      <c r="B29" s="208" t="s">
        <v>654</v>
      </c>
      <c r="C29" s="210">
        <v>25.032</v>
      </c>
    </row>
    <row r="30" spans="1:3" ht="113.25" customHeight="1" x14ac:dyDescent="0.25">
      <c r="A30" s="209" t="s">
        <v>657</v>
      </c>
      <c r="B30" s="208" t="s">
        <v>656</v>
      </c>
      <c r="C30" s="210">
        <v>25.032</v>
      </c>
    </row>
    <row r="31" spans="1:3" ht="66.75" customHeight="1" x14ac:dyDescent="0.25">
      <c r="A31" s="209" t="s">
        <v>659</v>
      </c>
      <c r="B31" s="208" t="s">
        <v>658</v>
      </c>
      <c r="C31" s="210">
        <v>6254.46</v>
      </c>
    </row>
    <row r="32" spans="1:3" ht="99.75" customHeight="1" x14ac:dyDescent="0.25">
      <c r="A32" s="209" t="s">
        <v>661</v>
      </c>
      <c r="B32" s="208" t="s">
        <v>660</v>
      </c>
      <c r="C32" s="210">
        <v>6254.46</v>
      </c>
    </row>
    <row r="33" spans="1:3" ht="26.25" customHeight="1" x14ac:dyDescent="0.25">
      <c r="A33" s="226" t="s">
        <v>663</v>
      </c>
      <c r="B33" s="227" t="s">
        <v>662</v>
      </c>
      <c r="C33" s="228">
        <v>15337.112999999999</v>
      </c>
    </row>
    <row r="34" spans="1:3" ht="31.7" customHeight="1" x14ac:dyDescent="0.25">
      <c r="A34" s="209" t="s">
        <v>665</v>
      </c>
      <c r="B34" s="208" t="s">
        <v>664</v>
      </c>
      <c r="C34" s="210">
        <v>7155</v>
      </c>
    </row>
    <row r="35" spans="1:3" ht="31.7" customHeight="1" x14ac:dyDescent="0.25">
      <c r="A35" s="209" t="s">
        <v>667</v>
      </c>
      <c r="B35" s="208" t="s">
        <v>666</v>
      </c>
      <c r="C35" s="210">
        <v>6060</v>
      </c>
    </row>
    <row r="36" spans="1:3" ht="31.7" customHeight="1" x14ac:dyDescent="0.25">
      <c r="A36" s="209" t="s">
        <v>668</v>
      </c>
      <c r="B36" s="208" t="s">
        <v>666</v>
      </c>
      <c r="C36" s="210">
        <v>6060</v>
      </c>
    </row>
    <row r="37" spans="1:3" ht="39" customHeight="1" x14ac:dyDescent="0.25">
      <c r="A37" s="209" t="s">
        <v>670</v>
      </c>
      <c r="B37" s="208" t="s">
        <v>669</v>
      </c>
      <c r="C37" s="210">
        <v>1095</v>
      </c>
    </row>
    <row r="38" spans="1:3" ht="63.2" customHeight="1" x14ac:dyDescent="0.25">
      <c r="A38" s="209" t="s">
        <v>672</v>
      </c>
      <c r="B38" s="208" t="s">
        <v>671</v>
      </c>
      <c r="C38" s="210">
        <v>1095</v>
      </c>
    </row>
    <row r="39" spans="1:3" ht="24.75" customHeight="1" x14ac:dyDescent="0.25">
      <c r="A39" s="209" t="s">
        <v>674</v>
      </c>
      <c r="B39" s="208" t="s">
        <v>673</v>
      </c>
      <c r="C39" s="210">
        <v>7582.1130000000003</v>
      </c>
    </row>
    <row r="40" spans="1:3" ht="22.5" customHeight="1" x14ac:dyDescent="0.25">
      <c r="A40" s="209" t="s">
        <v>675</v>
      </c>
      <c r="B40" s="208" t="s">
        <v>673</v>
      </c>
      <c r="C40" s="210">
        <v>7582</v>
      </c>
    </row>
    <row r="41" spans="1:3" ht="36" customHeight="1" x14ac:dyDescent="0.25">
      <c r="A41" s="209" t="s">
        <v>677</v>
      </c>
      <c r="B41" s="208" t="s">
        <v>676</v>
      </c>
      <c r="C41" s="210">
        <v>0.113</v>
      </c>
    </row>
    <row r="42" spans="1:3" ht="23.25" customHeight="1" x14ac:dyDescent="0.25">
      <c r="A42" s="209" t="s">
        <v>679</v>
      </c>
      <c r="B42" s="208" t="s">
        <v>678</v>
      </c>
      <c r="C42" s="210">
        <v>80</v>
      </c>
    </row>
    <row r="43" spans="1:3" ht="23.25" customHeight="1" x14ac:dyDescent="0.25">
      <c r="A43" s="209" t="s">
        <v>680</v>
      </c>
      <c r="B43" s="208" t="s">
        <v>678</v>
      </c>
      <c r="C43" s="210">
        <v>80</v>
      </c>
    </row>
    <row r="44" spans="1:3" ht="31.7" customHeight="1" x14ac:dyDescent="0.25">
      <c r="A44" s="209" t="s">
        <v>682</v>
      </c>
      <c r="B44" s="208" t="s">
        <v>681</v>
      </c>
      <c r="C44" s="210">
        <v>520</v>
      </c>
    </row>
    <row r="45" spans="1:3" ht="32.25" customHeight="1" x14ac:dyDescent="0.25">
      <c r="A45" s="209" t="s">
        <v>684</v>
      </c>
      <c r="B45" s="208" t="s">
        <v>683</v>
      </c>
      <c r="C45" s="210">
        <v>520</v>
      </c>
    </row>
    <row r="46" spans="1:3" ht="24" customHeight="1" x14ac:dyDescent="0.25">
      <c r="A46" s="212" t="s">
        <v>686</v>
      </c>
      <c r="B46" s="211" t="s">
        <v>685</v>
      </c>
      <c r="C46" s="213">
        <v>4.8719999999999999</v>
      </c>
    </row>
    <row r="47" spans="1:3" ht="23.25" customHeight="1" x14ac:dyDescent="0.25">
      <c r="A47" s="209" t="s">
        <v>688</v>
      </c>
      <c r="B47" s="208" t="s">
        <v>687</v>
      </c>
      <c r="C47" s="210">
        <v>4.8719999999999999</v>
      </c>
    </row>
    <row r="48" spans="1:3" ht="22.5" customHeight="1" x14ac:dyDescent="0.25">
      <c r="A48" s="209" t="s">
        <v>690</v>
      </c>
      <c r="B48" s="208" t="s">
        <v>689</v>
      </c>
      <c r="C48" s="210">
        <v>2.3159999999999998</v>
      </c>
    </row>
    <row r="49" spans="1:3" ht="34.5" customHeight="1" x14ac:dyDescent="0.25">
      <c r="A49" s="209" t="s">
        <v>692</v>
      </c>
      <c r="B49" s="208" t="s">
        <v>691</v>
      </c>
      <c r="C49" s="210">
        <v>2.3159999999999998</v>
      </c>
    </row>
    <row r="50" spans="1:3" ht="21.75" customHeight="1" x14ac:dyDescent="0.25">
      <c r="A50" s="209" t="s">
        <v>694</v>
      </c>
      <c r="B50" s="208" t="s">
        <v>693</v>
      </c>
      <c r="C50" s="210">
        <v>2.556</v>
      </c>
    </row>
    <row r="51" spans="1:3" ht="31.7" customHeight="1" x14ac:dyDescent="0.25">
      <c r="A51" s="209" t="s">
        <v>696</v>
      </c>
      <c r="B51" s="208" t="s">
        <v>695</v>
      </c>
      <c r="C51" s="210">
        <v>2.556</v>
      </c>
    </row>
    <row r="52" spans="1:3" ht="24" customHeight="1" x14ac:dyDescent="0.25">
      <c r="A52" s="212" t="s">
        <v>698</v>
      </c>
      <c r="B52" s="211" t="s">
        <v>697</v>
      </c>
      <c r="C52" s="213">
        <v>2750</v>
      </c>
    </row>
    <row r="53" spans="1:3" ht="31.7" customHeight="1" x14ac:dyDescent="0.25">
      <c r="A53" s="209" t="s">
        <v>700</v>
      </c>
      <c r="B53" s="208" t="s">
        <v>699</v>
      </c>
      <c r="C53" s="210">
        <v>2750</v>
      </c>
    </row>
    <row r="54" spans="1:3" ht="47.45" customHeight="1" x14ac:dyDescent="0.25">
      <c r="A54" s="209" t="s">
        <v>702</v>
      </c>
      <c r="B54" s="208" t="s">
        <v>701</v>
      </c>
      <c r="C54" s="210">
        <v>2750</v>
      </c>
    </row>
    <row r="55" spans="1:3" ht="19.5" customHeight="1" x14ac:dyDescent="0.25">
      <c r="A55" s="234" t="s">
        <v>703</v>
      </c>
      <c r="B55" s="235"/>
      <c r="C55" s="225">
        <v>23210.156999999999</v>
      </c>
    </row>
    <row r="56" spans="1:3" ht="39" customHeight="1" x14ac:dyDescent="0.25">
      <c r="A56" s="212" t="s">
        <v>705</v>
      </c>
      <c r="B56" s="211" t="s">
        <v>704</v>
      </c>
      <c r="C56" s="213">
        <v>12387.31</v>
      </c>
    </row>
    <row r="57" spans="1:3" ht="78.75" customHeight="1" x14ac:dyDescent="0.25">
      <c r="A57" s="209" t="s">
        <v>707</v>
      </c>
      <c r="B57" s="208" t="s">
        <v>706</v>
      </c>
      <c r="C57" s="210">
        <v>12137.31</v>
      </c>
    </row>
    <row r="58" spans="1:3" ht="63.2" customHeight="1" x14ac:dyDescent="0.25">
      <c r="A58" s="209" t="s">
        <v>709</v>
      </c>
      <c r="B58" s="208" t="s">
        <v>708</v>
      </c>
      <c r="C58" s="210">
        <v>4500</v>
      </c>
    </row>
    <row r="59" spans="1:3" ht="83.25" customHeight="1" x14ac:dyDescent="0.25">
      <c r="A59" s="209" t="s">
        <v>711</v>
      </c>
      <c r="B59" s="208" t="s">
        <v>710</v>
      </c>
      <c r="C59" s="210">
        <v>2900</v>
      </c>
    </row>
    <row r="60" spans="1:3" ht="63.75" customHeight="1" x14ac:dyDescent="0.25">
      <c r="A60" s="209" t="s">
        <v>713</v>
      </c>
      <c r="B60" s="208" t="s">
        <v>712</v>
      </c>
      <c r="C60" s="210">
        <v>1600</v>
      </c>
    </row>
    <row r="61" spans="1:3" ht="68.25" customHeight="1" x14ac:dyDescent="0.25">
      <c r="A61" s="209" t="s">
        <v>715</v>
      </c>
      <c r="B61" s="208" t="s">
        <v>714</v>
      </c>
      <c r="C61" s="210">
        <v>230</v>
      </c>
    </row>
    <row r="62" spans="1:3" ht="67.5" customHeight="1" x14ac:dyDescent="0.25">
      <c r="A62" s="209" t="s">
        <v>717</v>
      </c>
      <c r="B62" s="208" t="s">
        <v>716</v>
      </c>
      <c r="C62" s="210">
        <v>230</v>
      </c>
    </row>
    <row r="63" spans="1:3" ht="37.5" customHeight="1" x14ac:dyDescent="0.25">
      <c r="A63" s="209" t="s">
        <v>719</v>
      </c>
      <c r="B63" s="208" t="s">
        <v>718</v>
      </c>
      <c r="C63" s="210">
        <v>7407.31</v>
      </c>
    </row>
    <row r="64" spans="1:3" ht="31.7" customHeight="1" x14ac:dyDescent="0.25">
      <c r="A64" s="209" t="s">
        <v>721</v>
      </c>
      <c r="B64" s="208" t="s">
        <v>720</v>
      </c>
      <c r="C64" s="210">
        <v>7407.31</v>
      </c>
    </row>
    <row r="65" spans="1:3" ht="69" customHeight="1" x14ac:dyDescent="0.25">
      <c r="A65" s="209" t="s">
        <v>723</v>
      </c>
      <c r="B65" s="208" t="s">
        <v>722</v>
      </c>
      <c r="C65" s="210">
        <v>250</v>
      </c>
    </row>
    <row r="66" spans="1:3" ht="65.25" customHeight="1" x14ac:dyDescent="0.25">
      <c r="A66" s="209" t="s">
        <v>725</v>
      </c>
      <c r="B66" s="208" t="s">
        <v>724</v>
      </c>
      <c r="C66" s="210">
        <v>250</v>
      </c>
    </row>
    <row r="67" spans="1:3" ht="69.75" customHeight="1" x14ac:dyDescent="0.25">
      <c r="A67" s="209" t="s">
        <v>727</v>
      </c>
      <c r="B67" s="208" t="s">
        <v>726</v>
      </c>
      <c r="C67" s="210">
        <v>250</v>
      </c>
    </row>
    <row r="68" spans="1:3" ht="23.25" customHeight="1" x14ac:dyDescent="0.25">
      <c r="A68" s="212" t="s">
        <v>729</v>
      </c>
      <c r="B68" s="211" t="s">
        <v>728</v>
      </c>
      <c r="C68" s="213">
        <v>2719.6</v>
      </c>
    </row>
    <row r="69" spans="1:3" ht="22.5" customHeight="1" x14ac:dyDescent="0.25">
      <c r="A69" s="209" t="s">
        <v>731</v>
      </c>
      <c r="B69" s="208" t="s">
        <v>730</v>
      </c>
      <c r="C69" s="210">
        <v>2719.6</v>
      </c>
    </row>
    <row r="70" spans="1:3" ht="31.7" customHeight="1" x14ac:dyDescent="0.25">
      <c r="A70" s="209" t="s">
        <v>733</v>
      </c>
      <c r="B70" s="208" t="s">
        <v>732</v>
      </c>
      <c r="C70" s="210">
        <v>1033.2</v>
      </c>
    </row>
    <row r="71" spans="1:3" ht="21.75" customHeight="1" x14ac:dyDescent="0.25">
      <c r="A71" s="209" t="s">
        <v>735</v>
      </c>
      <c r="B71" s="208" t="s">
        <v>734</v>
      </c>
      <c r="C71" s="210">
        <v>1686.4</v>
      </c>
    </row>
    <row r="72" spans="1:3" ht="21.75" customHeight="1" x14ac:dyDescent="0.25">
      <c r="A72" s="209" t="s">
        <v>737</v>
      </c>
      <c r="B72" s="208" t="s">
        <v>736</v>
      </c>
      <c r="C72" s="210">
        <v>0</v>
      </c>
    </row>
    <row r="73" spans="1:3" ht="34.5" customHeight="1" x14ac:dyDescent="0.25">
      <c r="A73" s="212" t="s">
        <v>739</v>
      </c>
      <c r="B73" s="211" t="s">
        <v>738</v>
      </c>
      <c r="C73" s="213">
        <v>452.05399999999997</v>
      </c>
    </row>
    <row r="74" spans="1:3" ht="22.5" customHeight="1" x14ac:dyDescent="0.25">
      <c r="A74" s="209" t="s">
        <v>741</v>
      </c>
      <c r="B74" s="208" t="s">
        <v>740</v>
      </c>
      <c r="C74" s="210">
        <v>452.05399999999997</v>
      </c>
    </row>
    <row r="75" spans="1:3" ht="20.25" customHeight="1" x14ac:dyDescent="0.25">
      <c r="A75" s="209" t="s">
        <v>743</v>
      </c>
      <c r="B75" s="208" t="s">
        <v>742</v>
      </c>
      <c r="C75" s="210">
        <v>452.05399999999997</v>
      </c>
    </row>
    <row r="76" spans="1:3" ht="24.75" customHeight="1" x14ac:dyDescent="0.25">
      <c r="A76" s="209" t="s">
        <v>745</v>
      </c>
      <c r="B76" s="208" t="s">
        <v>744</v>
      </c>
      <c r="C76" s="210">
        <v>452.05399999999997</v>
      </c>
    </row>
    <row r="77" spans="1:3" ht="31.7" customHeight="1" x14ac:dyDescent="0.25">
      <c r="A77" s="212" t="s">
        <v>747</v>
      </c>
      <c r="B77" s="211" t="s">
        <v>746</v>
      </c>
      <c r="C77" s="213">
        <v>3742.0650000000001</v>
      </c>
    </row>
    <row r="78" spans="1:3" ht="69.75" customHeight="1" x14ac:dyDescent="0.25">
      <c r="A78" s="209" t="s">
        <v>749</v>
      </c>
      <c r="B78" s="208" t="s">
        <v>748</v>
      </c>
      <c r="C78" s="210">
        <v>2464.5</v>
      </c>
    </row>
    <row r="79" spans="1:3" ht="83.25" customHeight="1" x14ac:dyDescent="0.25">
      <c r="A79" s="209" t="s">
        <v>751</v>
      </c>
      <c r="B79" s="208" t="s">
        <v>750</v>
      </c>
      <c r="C79" s="210">
        <v>2464.5</v>
      </c>
    </row>
    <row r="80" spans="1:3" ht="84" customHeight="1" x14ac:dyDescent="0.25">
      <c r="A80" s="209" t="s">
        <v>753</v>
      </c>
      <c r="B80" s="208" t="s">
        <v>752</v>
      </c>
      <c r="C80" s="210">
        <v>2464.5</v>
      </c>
    </row>
    <row r="81" spans="1:3" ht="31.7" customHeight="1" x14ac:dyDescent="0.25">
      <c r="A81" s="209" t="s">
        <v>755</v>
      </c>
      <c r="B81" s="208" t="s">
        <v>754</v>
      </c>
      <c r="C81" s="210">
        <v>1277.5650000000001</v>
      </c>
    </row>
    <row r="82" spans="1:3" ht="31.7" customHeight="1" x14ac:dyDescent="0.25">
      <c r="A82" s="209" t="s">
        <v>757</v>
      </c>
      <c r="B82" s="208" t="s">
        <v>756</v>
      </c>
      <c r="C82" s="210">
        <v>759</v>
      </c>
    </row>
    <row r="83" spans="1:3" ht="52.5" customHeight="1" x14ac:dyDescent="0.25">
      <c r="A83" s="209" t="s">
        <v>759</v>
      </c>
      <c r="B83" s="208" t="s">
        <v>758</v>
      </c>
      <c r="C83" s="210">
        <v>55</v>
      </c>
    </row>
    <row r="84" spans="1:3" ht="47.45" customHeight="1" x14ac:dyDescent="0.25">
      <c r="A84" s="209" t="s">
        <v>761</v>
      </c>
      <c r="B84" s="208" t="s">
        <v>760</v>
      </c>
      <c r="C84" s="210">
        <v>704</v>
      </c>
    </row>
    <row r="85" spans="1:3" ht="47.45" customHeight="1" x14ac:dyDescent="0.25">
      <c r="A85" s="209" t="s">
        <v>763</v>
      </c>
      <c r="B85" s="208" t="s">
        <v>762</v>
      </c>
      <c r="C85" s="210">
        <v>518.56500000000005</v>
      </c>
    </row>
    <row r="86" spans="1:3" ht="51" customHeight="1" x14ac:dyDescent="0.25">
      <c r="A86" s="209" t="s">
        <v>765</v>
      </c>
      <c r="B86" s="208" t="s">
        <v>764</v>
      </c>
      <c r="C86" s="210">
        <v>518.56500000000005</v>
      </c>
    </row>
    <row r="87" spans="1:3" ht="25.5" customHeight="1" x14ac:dyDescent="0.25">
      <c r="A87" s="212" t="s">
        <v>767</v>
      </c>
      <c r="B87" s="211" t="s">
        <v>766</v>
      </c>
      <c r="C87" s="213">
        <v>3909.1280000000002</v>
      </c>
    </row>
    <row r="88" spans="1:3" ht="31.7" customHeight="1" x14ac:dyDescent="0.25">
      <c r="A88" s="209" t="s">
        <v>769</v>
      </c>
      <c r="B88" s="208" t="s">
        <v>768</v>
      </c>
      <c r="C88" s="210">
        <v>66.341999999999999</v>
      </c>
    </row>
    <row r="89" spans="1:3" ht="63.75" customHeight="1" x14ac:dyDescent="0.25">
      <c r="A89" s="209" t="s">
        <v>771</v>
      </c>
      <c r="B89" s="208" t="s">
        <v>770</v>
      </c>
      <c r="C89" s="210">
        <v>66.176000000000002</v>
      </c>
    </row>
    <row r="90" spans="1:3" ht="49.5" customHeight="1" x14ac:dyDescent="0.25">
      <c r="A90" s="209" t="s">
        <v>773</v>
      </c>
      <c r="B90" s="208" t="s">
        <v>772</v>
      </c>
      <c r="C90" s="210">
        <v>0.16600000000000001</v>
      </c>
    </row>
    <row r="91" spans="1:3" ht="53.25" customHeight="1" x14ac:dyDescent="0.25">
      <c r="A91" s="209" t="s">
        <v>775</v>
      </c>
      <c r="B91" s="208" t="s">
        <v>774</v>
      </c>
      <c r="C91" s="210">
        <v>70</v>
      </c>
    </row>
    <row r="92" spans="1:3" ht="54" customHeight="1" x14ac:dyDescent="0.25">
      <c r="A92" s="209" t="s">
        <v>777</v>
      </c>
      <c r="B92" s="208" t="s">
        <v>776</v>
      </c>
      <c r="C92" s="210">
        <v>70</v>
      </c>
    </row>
    <row r="93" spans="1:3" ht="31.7" customHeight="1" x14ac:dyDescent="0.25">
      <c r="A93" s="209" t="s">
        <v>779</v>
      </c>
      <c r="B93" s="208" t="s">
        <v>778</v>
      </c>
      <c r="C93" s="210">
        <v>10</v>
      </c>
    </row>
    <row r="94" spans="1:3" ht="31.7" customHeight="1" x14ac:dyDescent="0.25">
      <c r="A94" s="209" t="s">
        <v>781</v>
      </c>
      <c r="B94" s="208" t="s">
        <v>780</v>
      </c>
      <c r="C94" s="210">
        <v>10</v>
      </c>
    </row>
    <row r="95" spans="1:3" ht="102" customHeight="1" x14ac:dyDescent="0.25">
      <c r="A95" s="209" t="s">
        <v>783</v>
      </c>
      <c r="B95" s="208" t="s">
        <v>782</v>
      </c>
      <c r="C95" s="210">
        <v>263.39999999999998</v>
      </c>
    </row>
    <row r="96" spans="1:3" ht="33.75" customHeight="1" x14ac:dyDescent="0.25">
      <c r="A96" s="209" t="s">
        <v>785</v>
      </c>
      <c r="B96" s="208" t="s">
        <v>784</v>
      </c>
      <c r="C96" s="210">
        <v>74.924999999999997</v>
      </c>
    </row>
    <row r="97" spans="1:4" ht="37.5" customHeight="1" x14ac:dyDescent="0.25">
      <c r="A97" s="209" t="s">
        <v>787</v>
      </c>
      <c r="B97" s="208" t="s">
        <v>786</v>
      </c>
      <c r="C97" s="210">
        <v>6</v>
      </c>
    </row>
    <row r="98" spans="1:4" ht="31.7" customHeight="1" x14ac:dyDescent="0.25">
      <c r="A98" s="209" t="s">
        <v>789</v>
      </c>
      <c r="B98" s="208" t="s">
        <v>788</v>
      </c>
      <c r="C98" s="210">
        <v>181.97499999999999</v>
      </c>
    </row>
    <row r="99" spans="1:4" ht="21.75" customHeight="1" x14ac:dyDescent="0.25">
      <c r="A99" s="209" t="s">
        <v>791</v>
      </c>
      <c r="B99" s="208" t="s">
        <v>790</v>
      </c>
      <c r="C99" s="210">
        <v>0.5</v>
      </c>
    </row>
    <row r="100" spans="1:4" ht="54" customHeight="1" x14ac:dyDescent="0.25">
      <c r="A100" s="209" t="s">
        <v>793</v>
      </c>
      <c r="B100" s="208" t="s">
        <v>792</v>
      </c>
      <c r="C100" s="210">
        <v>394.649</v>
      </c>
    </row>
    <row r="101" spans="1:4" ht="31.7" customHeight="1" x14ac:dyDescent="0.25">
      <c r="A101" s="209" t="s">
        <v>795</v>
      </c>
      <c r="B101" s="208" t="s">
        <v>794</v>
      </c>
      <c r="C101" s="210">
        <v>208.1</v>
      </c>
    </row>
    <row r="102" spans="1:4" ht="31.7" customHeight="1" x14ac:dyDescent="0.25">
      <c r="A102" s="209" t="s">
        <v>797</v>
      </c>
      <c r="B102" s="208" t="s">
        <v>796</v>
      </c>
      <c r="C102" s="210">
        <v>208.1</v>
      </c>
    </row>
    <row r="103" spans="1:4" ht="51" customHeight="1" x14ac:dyDescent="0.25">
      <c r="A103" s="209" t="s">
        <v>799</v>
      </c>
      <c r="B103" s="208" t="s">
        <v>798</v>
      </c>
      <c r="C103" s="210">
        <v>55</v>
      </c>
    </row>
    <row r="104" spans="1:4" ht="63.2" customHeight="1" x14ac:dyDescent="0.25">
      <c r="A104" s="209" t="s">
        <v>801</v>
      </c>
      <c r="B104" s="208" t="s">
        <v>800</v>
      </c>
      <c r="C104" s="210">
        <v>55</v>
      </c>
    </row>
    <row r="105" spans="1:4" ht="23.25" customHeight="1" x14ac:dyDescent="0.25">
      <c r="A105" s="209" t="s">
        <v>803</v>
      </c>
      <c r="B105" s="208" t="s">
        <v>802</v>
      </c>
      <c r="C105" s="210">
        <v>121.792</v>
      </c>
    </row>
    <row r="106" spans="1:4" ht="35.25" customHeight="1" x14ac:dyDescent="0.25">
      <c r="A106" s="209" t="s">
        <v>805</v>
      </c>
      <c r="B106" s="208" t="s">
        <v>804</v>
      </c>
      <c r="C106" s="210">
        <v>121.792</v>
      </c>
    </row>
    <row r="107" spans="1:4" ht="50.25" customHeight="1" x14ac:dyDescent="0.25">
      <c r="A107" s="209" t="s">
        <v>807</v>
      </c>
      <c r="B107" s="208" t="s">
        <v>806</v>
      </c>
      <c r="C107" s="210">
        <v>842.94899999999996</v>
      </c>
    </row>
    <row r="108" spans="1:4" ht="31.7" customHeight="1" x14ac:dyDescent="0.25">
      <c r="A108" s="209" t="s">
        <v>809</v>
      </c>
      <c r="B108" s="208" t="s">
        <v>808</v>
      </c>
      <c r="C108" s="210">
        <v>1876.896</v>
      </c>
    </row>
    <row r="109" spans="1:4" ht="38.25" customHeight="1" x14ac:dyDescent="0.25">
      <c r="A109" s="209" t="s">
        <v>811</v>
      </c>
      <c r="B109" s="208" t="s">
        <v>810</v>
      </c>
      <c r="C109" s="210">
        <v>1876.896</v>
      </c>
    </row>
    <row r="110" spans="1:4" ht="18.399999999999999" customHeight="1" x14ac:dyDescent="0.3">
      <c r="A110" s="206" t="s">
        <v>813</v>
      </c>
      <c r="B110" s="205" t="s">
        <v>812</v>
      </c>
      <c r="C110" s="207">
        <f>1000+449097.233</f>
        <v>450097.23300000001</v>
      </c>
      <c r="D110" s="219"/>
    </row>
    <row r="111" spans="1:4" ht="31.7" customHeight="1" x14ac:dyDescent="0.25">
      <c r="A111" s="212" t="s">
        <v>815</v>
      </c>
      <c r="B111" s="211" t="s">
        <v>814</v>
      </c>
      <c r="C111" s="213">
        <f>1000+449097.233</f>
        <v>450097.23300000001</v>
      </c>
    </row>
    <row r="112" spans="1:4" ht="24.75" customHeight="1" x14ac:dyDescent="0.25">
      <c r="A112" s="209" t="s">
        <v>817</v>
      </c>
      <c r="B112" s="208" t="s">
        <v>816</v>
      </c>
      <c r="C112" s="210">
        <v>57797.8</v>
      </c>
    </row>
    <row r="113" spans="1:3" ht="24" customHeight="1" x14ac:dyDescent="0.25">
      <c r="A113" s="209" t="s">
        <v>819</v>
      </c>
      <c r="B113" s="208" t="s">
        <v>818</v>
      </c>
      <c r="C113" s="210">
        <v>489.1</v>
      </c>
    </row>
    <row r="114" spans="1:3" ht="31.7" customHeight="1" x14ac:dyDescent="0.25">
      <c r="A114" s="209" t="s">
        <v>821</v>
      </c>
      <c r="B114" s="208" t="s">
        <v>820</v>
      </c>
      <c r="C114" s="210">
        <v>489.1</v>
      </c>
    </row>
    <row r="115" spans="1:3" ht="31.7" customHeight="1" x14ac:dyDescent="0.25">
      <c r="A115" s="209" t="s">
        <v>823</v>
      </c>
      <c r="B115" s="208" t="s">
        <v>822</v>
      </c>
      <c r="C115" s="210">
        <v>57308.7</v>
      </c>
    </row>
    <row r="116" spans="1:3" ht="31.7" customHeight="1" x14ac:dyDescent="0.25">
      <c r="A116" s="209" t="s">
        <v>825</v>
      </c>
      <c r="B116" s="208" t="s">
        <v>824</v>
      </c>
      <c r="C116" s="210">
        <v>57308.7</v>
      </c>
    </row>
    <row r="117" spans="1:3" ht="31.7" customHeight="1" x14ac:dyDescent="0.25">
      <c r="A117" s="209" t="s">
        <v>827</v>
      </c>
      <c r="B117" s="208" t="s">
        <v>826</v>
      </c>
      <c r="C117" s="210">
        <f>1000+116484.112</f>
        <v>117484.11199999999</v>
      </c>
    </row>
    <row r="118" spans="1:3" ht="96.75" customHeight="1" x14ac:dyDescent="0.25">
      <c r="A118" s="209" t="s">
        <v>829</v>
      </c>
      <c r="B118" s="208" t="s">
        <v>828</v>
      </c>
      <c r="C118" s="210">
        <v>29208.51</v>
      </c>
    </row>
    <row r="119" spans="1:3" ht="99.75" customHeight="1" x14ac:dyDescent="0.25">
      <c r="A119" s="209" t="s">
        <v>831</v>
      </c>
      <c r="B119" s="208" t="s">
        <v>830</v>
      </c>
      <c r="C119" s="210">
        <v>29208.51</v>
      </c>
    </row>
    <row r="120" spans="1:3" ht="82.5" customHeight="1" x14ac:dyDescent="0.25">
      <c r="A120" s="209" t="s">
        <v>833</v>
      </c>
      <c r="B120" s="208" t="s">
        <v>832</v>
      </c>
      <c r="C120" s="210">
        <v>1229.8320000000001</v>
      </c>
    </row>
    <row r="121" spans="1:3" ht="84.75" customHeight="1" x14ac:dyDescent="0.25">
      <c r="A121" s="209" t="s">
        <v>835</v>
      </c>
      <c r="B121" s="208" t="s">
        <v>834</v>
      </c>
      <c r="C121" s="210">
        <v>1229.8320000000001</v>
      </c>
    </row>
    <row r="122" spans="1:3" ht="47.45" customHeight="1" x14ac:dyDescent="0.25">
      <c r="A122" s="209" t="s">
        <v>837</v>
      </c>
      <c r="B122" s="208" t="s">
        <v>836</v>
      </c>
      <c r="C122" s="210">
        <v>1221.5830000000001</v>
      </c>
    </row>
    <row r="123" spans="1:3" ht="51.75" customHeight="1" x14ac:dyDescent="0.25">
      <c r="A123" s="209" t="s">
        <v>839</v>
      </c>
      <c r="B123" s="208" t="s">
        <v>838</v>
      </c>
      <c r="C123" s="210">
        <v>1221.5830000000001</v>
      </c>
    </row>
    <row r="124" spans="1:3" ht="31.7" customHeight="1" x14ac:dyDescent="0.25">
      <c r="A124" s="209" t="s">
        <v>841</v>
      </c>
      <c r="B124" s="208" t="s">
        <v>840</v>
      </c>
      <c r="C124" s="210">
        <v>523.33000000000004</v>
      </c>
    </row>
    <row r="125" spans="1:3" ht="31.7" customHeight="1" x14ac:dyDescent="0.25">
      <c r="A125" s="209" t="s">
        <v>843</v>
      </c>
      <c r="B125" s="208" t="s">
        <v>842</v>
      </c>
      <c r="C125" s="210">
        <v>523.33000000000004</v>
      </c>
    </row>
    <row r="126" spans="1:3" ht="21" customHeight="1" x14ac:dyDescent="0.25">
      <c r="A126" s="209" t="s">
        <v>845</v>
      </c>
      <c r="B126" s="208" t="s">
        <v>844</v>
      </c>
      <c r="C126" s="210">
        <v>202.958</v>
      </c>
    </row>
    <row r="127" spans="1:3" ht="23.25" customHeight="1" x14ac:dyDescent="0.25">
      <c r="A127" s="209" t="s">
        <v>847</v>
      </c>
      <c r="B127" s="208" t="s">
        <v>846</v>
      </c>
      <c r="C127" s="210">
        <v>202.958</v>
      </c>
    </row>
    <row r="128" spans="1:3" ht="20.25" customHeight="1" x14ac:dyDescent="0.25">
      <c r="A128" s="209" t="s">
        <v>849</v>
      </c>
      <c r="B128" s="208" t="s">
        <v>848</v>
      </c>
      <c r="C128" s="210">
        <f>1000+84097.899</f>
        <v>85097.899000000005</v>
      </c>
    </row>
    <row r="129" spans="1:4" ht="20.25" customHeight="1" x14ac:dyDescent="0.25">
      <c r="A129" s="209" t="s">
        <v>851</v>
      </c>
      <c r="B129" s="208" t="s">
        <v>850</v>
      </c>
      <c r="C129" s="210">
        <f>1000+84097.899</f>
        <v>85097.899000000005</v>
      </c>
    </row>
    <row r="130" spans="1:4" ht="21.75" customHeight="1" x14ac:dyDescent="0.25">
      <c r="A130" s="209" t="s">
        <v>853</v>
      </c>
      <c r="B130" s="208" t="s">
        <v>852</v>
      </c>
      <c r="C130" s="210">
        <v>274775.66200000001</v>
      </c>
      <c r="D130" s="219"/>
    </row>
    <row r="131" spans="1:4" ht="31.7" customHeight="1" x14ac:dyDescent="0.25">
      <c r="A131" s="229" t="s">
        <v>855</v>
      </c>
      <c r="B131" s="230" t="s">
        <v>854</v>
      </c>
      <c r="C131" s="231">
        <v>8727.9959999999992</v>
      </c>
    </row>
    <row r="132" spans="1:4" ht="31.7" customHeight="1" x14ac:dyDescent="0.25">
      <c r="A132" s="209" t="s">
        <v>857</v>
      </c>
      <c r="B132" s="208" t="s">
        <v>856</v>
      </c>
      <c r="C132" s="210">
        <v>8727.9959999999992</v>
      </c>
    </row>
    <row r="133" spans="1:4" ht="66" customHeight="1" x14ac:dyDescent="0.25">
      <c r="A133" s="209" t="s">
        <v>859</v>
      </c>
      <c r="B133" s="208" t="s">
        <v>858</v>
      </c>
      <c r="C133" s="210">
        <v>3481.2</v>
      </c>
    </row>
    <row r="134" spans="1:4" ht="67.5" customHeight="1" x14ac:dyDescent="0.25">
      <c r="A134" s="209" t="s">
        <v>861</v>
      </c>
      <c r="B134" s="208" t="s">
        <v>860</v>
      </c>
      <c r="C134" s="210">
        <v>3481.2</v>
      </c>
    </row>
    <row r="135" spans="1:4" ht="63.2" customHeight="1" x14ac:dyDescent="0.25">
      <c r="A135" s="209" t="s">
        <v>863</v>
      </c>
      <c r="B135" s="208" t="s">
        <v>862</v>
      </c>
      <c r="C135" s="210">
        <v>10134.369000000001</v>
      </c>
    </row>
    <row r="136" spans="1:4" ht="63.2" customHeight="1" x14ac:dyDescent="0.25">
      <c r="A136" s="209" t="s">
        <v>865</v>
      </c>
      <c r="B136" s="208" t="s">
        <v>864</v>
      </c>
      <c r="C136" s="210">
        <v>10134.369000000001</v>
      </c>
    </row>
    <row r="137" spans="1:4" ht="31.7" customHeight="1" x14ac:dyDescent="0.25">
      <c r="A137" s="209" t="s">
        <v>867</v>
      </c>
      <c r="B137" s="208" t="s">
        <v>866</v>
      </c>
      <c r="C137" s="210">
        <v>1281.9000000000001</v>
      </c>
    </row>
    <row r="138" spans="1:4" ht="34.5" customHeight="1" x14ac:dyDescent="0.25">
      <c r="A138" s="209" t="s">
        <v>869</v>
      </c>
      <c r="B138" s="208" t="s">
        <v>868</v>
      </c>
      <c r="C138" s="210">
        <v>1281.9000000000001</v>
      </c>
    </row>
    <row r="139" spans="1:4" ht="51.75" customHeight="1" x14ac:dyDescent="0.25">
      <c r="A139" s="209" t="s">
        <v>871</v>
      </c>
      <c r="B139" s="208" t="s">
        <v>870</v>
      </c>
      <c r="C139" s="210">
        <v>12.3</v>
      </c>
    </row>
    <row r="140" spans="1:4" ht="53.25" customHeight="1" x14ac:dyDescent="0.25">
      <c r="A140" s="209" t="s">
        <v>873</v>
      </c>
      <c r="B140" s="208" t="s">
        <v>872</v>
      </c>
      <c r="C140" s="210">
        <v>12.3</v>
      </c>
    </row>
    <row r="141" spans="1:4" ht="48.75" customHeight="1" x14ac:dyDescent="0.25">
      <c r="A141" s="209" t="s">
        <v>875</v>
      </c>
      <c r="B141" s="208" t="s">
        <v>874</v>
      </c>
      <c r="C141" s="210">
        <v>834.49800000000005</v>
      </c>
    </row>
    <row r="142" spans="1:4" ht="51" customHeight="1" x14ac:dyDescent="0.25">
      <c r="A142" s="209" t="s">
        <v>877</v>
      </c>
      <c r="B142" s="208" t="s">
        <v>876</v>
      </c>
      <c r="C142" s="210">
        <v>834.49800000000005</v>
      </c>
    </row>
    <row r="143" spans="1:4" ht="66" customHeight="1" x14ac:dyDescent="0.25">
      <c r="A143" s="209" t="s">
        <v>879</v>
      </c>
      <c r="B143" s="208" t="s">
        <v>878</v>
      </c>
      <c r="C143" s="210">
        <v>834.49800000000005</v>
      </c>
    </row>
    <row r="144" spans="1:4" ht="68.25" customHeight="1" x14ac:dyDescent="0.25">
      <c r="A144" s="209" t="s">
        <v>881</v>
      </c>
      <c r="B144" s="208" t="s">
        <v>880</v>
      </c>
      <c r="C144" s="210">
        <v>834.49800000000005</v>
      </c>
    </row>
    <row r="145" spans="1:5" ht="31.7" customHeight="1" x14ac:dyDescent="0.25">
      <c r="A145" s="209" t="s">
        <v>883</v>
      </c>
      <c r="B145" s="208" t="s">
        <v>882</v>
      </c>
      <c r="C145" s="210">
        <v>49.5</v>
      </c>
    </row>
    <row r="146" spans="1:5" ht="31.7" customHeight="1" x14ac:dyDescent="0.25">
      <c r="A146" s="209" t="s">
        <v>885</v>
      </c>
      <c r="B146" s="208" t="s">
        <v>884</v>
      </c>
      <c r="C146" s="210">
        <v>49.5</v>
      </c>
    </row>
    <row r="147" spans="1:5" ht="24" customHeight="1" x14ac:dyDescent="0.25">
      <c r="A147" s="209" t="s">
        <v>887</v>
      </c>
      <c r="B147" s="208" t="s">
        <v>886</v>
      </c>
      <c r="C147" s="210">
        <v>249419.4</v>
      </c>
    </row>
    <row r="148" spans="1:5" ht="22.5" customHeight="1" x14ac:dyDescent="0.25">
      <c r="A148" s="209" t="s">
        <v>889</v>
      </c>
      <c r="B148" s="208" t="s">
        <v>888</v>
      </c>
      <c r="C148" s="210">
        <v>249419.4</v>
      </c>
    </row>
    <row r="149" spans="1:5" ht="23.25" customHeight="1" x14ac:dyDescent="0.25">
      <c r="A149" s="209" t="s">
        <v>891</v>
      </c>
      <c r="B149" s="208" t="s">
        <v>890</v>
      </c>
      <c r="C149" s="210">
        <v>39.658999999999999</v>
      </c>
    </row>
    <row r="150" spans="1:5" ht="49.5" customHeight="1" x14ac:dyDescent="0.25">
      <c r="A150" s="209" t="s">
        <v>893</v>
      </c>
      <c r="B150" s="208" t="s">
        <v>892</v>
      </c>
      <c r="C150" s="210">
        <v>39.658999999999999</v>
      </c>
    </row>
    <row r="151" spans="1:5" ht="63.2" customHeight="1" x14ac:dyDescent="0.25">
      <c r="A151" s="209" t="s">
        <v>895</v>
      </c>
      <c r="B151" s="208" t="s">
        <v>894</v>
      </c>
      <c r="C151" s="210">
        <v>39.658999999999999</v>
      </c>
    </row>
    <row r="152" spans="1:5" ht="18" customHeight="1" x14ac:dyDescent="0.25">
      <c r="A152" s="234" t="s">
        <v>896</v>
      </c>
      <c r="B152" s="235"/>
      <c r="C152" s="225">
        <v>748420.64399999997</v>
      </c>
      <c r="E152" s="219"/>
    </row>
  </sheetData>
  <mergeCells count="16">
    <mergeCell ref="A1:C1"/>
    <mergeCell ref="A2:C2"/>
    <mergeCell ref="A3:C3"/>
    <mergeCell ref="A4:C4"/>
    <mergeCell ref="A6:C6"/>
    <mergeCell ref="C13:C15"/>
    <mergeCell ref="A7:C7"/>
    <mergeCell ref="A8:C8"/>
    <mergeCell ref="A9:C9"/>
    <mergeCell ref="A10:C10"/>
    <mergeCell ref="A17:B17"/>
    <mergeCell ref="A19:B19"/>
    <mergeCell ref="A55:B55"/>
    <mergeCell ref="A152:B152"/>
    <mergeCell ref="B13:B15"/>
    <mergeCell ref="A13:A15"/>
  </mergeCells>
  <pageMargins left="0.39370078740157483" right="0.39370078740157483" top="0.59055118110236227" bottom="0.59055118110236227" header="0.39370078740157483" footer="0.3937007874015748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32"/>
  <sheetViews>
    <sheetView view="pageBreakPreview" zoomScaleNormal="100" zoomScaleSheetLayoutView="100" workbookViewId="0">
      <selection activeCell="A6" sqref="A6:E6"/>
    </sheetView>
  </sheetViews>
  <sheetFormatPr defaultRowHeight="15" x14ac:dyDescent="0.25"/>
  <cols>
    <col min="1" max="1" width="92.5703125" style="64" customWidth="1"/>
    <col min="2" max="2" width="16.7109375" style="64" customWidth="1"/>
    <col min="3" max="3" width="16.28515625" style="64" customWidth="1"/>
    <col min="4" max="4" width="10.7109375" style="64" customWidth="1"/>
    <col min="5" max="5" width="18.28515625" style="64" customWidth="1"/>
    <col min="6" max="6" width="16.7109375" style="64" hidden="1" customWidth="1"/>
    <col min="7" max="8" width="9.140625" style="64" hidden="1" customWidth="1"/>
    <col min="9" max="9" width="10" style="64" bestFit="1" customWidth="1"/>
    <col min="10" max="10" width="9.140625" style="64" customWidth="1"/>
    <col min="11" max="16384" width="9.140625" style="64"/>
  </cols>
  <sheetData>
    <row r="1" spans="1:5" ht="18.75" x14ac:dyDescent="0.3">
      <c r="A1" s="238" t="s">
        <v>227</v>
      </c>
      <c r="B1" s="238"/>
      <c r="C1" s="238"/>
      <c r="D1" s="238"/>
      <c r="E1" s="238"/>
    </row>
    <row r="2" spans="1:5" ht="18.75" x14ac:dyDescent="0.3">
      <c r="A2" s="238" t="s">
        <v>14</v>
      </c>
      <c r="B2" s="238"/>
      <c r="C2" s="238"/>
      <c r="D2" s="238"/>
      <c r="E2" s="238"/>
    </row>
    <row r="3" spans="1:5" ht="18.75" x14ac:dyDescent="0.3">
      <c r="A3" s="238" t="s">
        <v>228</v>
      </c>
      <c r="B3" s="238"/>
      <c r="C3" s="238"/>
      <c r="D3" s="238"/>
      <c r="E3" s="238"/>
    </row>
    <row r="4" spans="1:5" ht="18.75" x14ac:dyDescent="0.3">
      <c r="A4" s="238" t="str">
        <f>'Прил 1 (Доходы)'!A4:C4</f>
        <v>от 28 ноября 2019 г. № 36</v>
      </c>
      <c r="B4" s="238"/>
      <c r="C4" s="238"/>
      <c r="D4" s="238"/>
      <c r="E4" s="238"/>
    </row>
    <row r="5" spans="1:5" ht="18.75" x14ac:dyDescent="0.3">
      <c r="A5" s="65"/>
      <c r="B5" s="6"/>
      <c r="C5" s="6"/>
      <c r="D5" s="7"/>
      <c r="E5" s="65"/>
    </row>
    <row r="6" spans="1:5" ht="18.75" x14ac:dyDescent="0.3">
      <c r="A6" s="238" t="s">
        <v>229</v>
      </c>
      <c r="B6" s="238"/>
      <c r="C6" s="238"/>
      <c r="D6" s="238"/>
      <c r="E6" s="238"/>
    </row>
    <row r="7" spans="1:5" ht="18.75" x14ac:dyDescent="0.3">
      <c r="A7" s="238" t="s">
        <v>14</v>
      </c>
      <c r="B7" s="238"/>
      <c r="C7" s="238"/>
      <c r="D7" s="238"/>
      <c r="E7" s="238"/>
    </row>
    <row r="8" spans="1:5" ht="18.75" x14ac:dyDescent="0.3">
      <c r="A8" s="238" t="s">
        <v>228</v>
      </c>
      <c r="B8" s="238"/>
      <c r="C8" s="238"/>
      <c r="D8" s="238"/>
      <c r="E8" s="238"/>
    </row>
    <row r="9" spans="1:5" ht="18.75" x14ac:dyDescent="0.3">
      <c r="A9" s="238" t="s">
        <v>230</v>
      </c>
      <c r="B9" s="238"/>
      <c r="C9" s="238"/>
      <c r="D9" s="238"/>
      <c r="E9" s="238"/>
    </row>
    <row r="10" spans="1:5" ht="18.75" x14ac:dyDescent="0.3">
      <c r="A10" s="65"/>
      <c r="B10" s="6"/>
      <c r="C10" s="7"/>
      <c r="D10" s="65"/>
      <c r="E10" s="65"/>
    </row>
    <row r="11" spans="1:5" ht="18.75" x14ac:dyDescent="0.25">
      <c r="A11" s="241" t="s">
        <v>231</v>
      </c>
      <c r="B11" s="241"/>
      <c r="C11" s="241"/>
      <c r="D11" s="241"/>
      <c r="E11" s="241"/>
    </row>
    <row r="12" spans="1:5" ht="18.75" x14ac:dyDescent="0.3">
      <c r="A12" s="65"/>
      <c r="B12" s="65"/>
      <c r="C12" s="65"/>
      <c r="D12" s="65"/>
      <c r="E12" s="65"/>
    </row>
    <row r="13" spans="1:5" ht="18.75" x14ac:dyDescent="0.25">
      <c r="A13" s="66"/>
      <c r="B13" s="66"/>
      <c r="C13" s="66"/>
      <c r="D13" s="66"/>
      <c r="E13" s="66" t="s">
        <v>15</v>
      </c>
    </row>
    <row r="14" spans="1:5" x14ac:dyDescent="0.25">
      <c r="A14" s="240" t="s">
        <v>16</v>
      </c>
      <c r="B14" s="242" t="s">
        <v>17</v>
      </c>
      <c r="C14" s="242" t="s">
        <v>18</v>
      </c>
      <c r="D14" s="242" t="s">
        <v>19</v>
      </c>
      <c r="E14" s="240" t="s">
        <v>5</v>
      </c>
    </row>
    <row r="15" spans="1:5" x14ac:dyDescent="0.25">
      <c r="A15" s="240"/>
      <c r="B15" s="242" t="s">
        <v>17</v>
      </c>
      <c r="C15" s="242" t="s">
        <v>18</v>
      </c>
      <c r="D15" s="242" t="s">
        <v>19</v>
      </c>
      <c r="E15" s="240"/>
    </row>
    <row r="16" spans="1:5" s="68" customFormat="1" x14ac:dyDescent="0.25">
      <c r="A16" s="67">
        <v>1</v>
      </c>
      <c r="B16" s="67">
        <v>2</v>
      </c>
      <c r="C16" s="67">
        <v>3</v>
      </c>
      <c r="D16" s="67">
        <v>4</v>
      </c>
      <c r="E16" s="67">
        <v>5</v>
      </c>
    </row>
    <row r="17" spans="1:7" ht="15.75" x14ac:dyDescent="0.25">
      <c r="A17" s="69" t="s">
        <v>20</v>
      </c>
      <c r="B17" s="70"/>
      <c r="C17" s="70"/>
      <c r="D17" s="70"/>
      <c r="E17" s="63">
        <f>E18+E28+E33+E179+E267+E310+E401+0.001</f>
        <v>810398.44935000013</v>
      </c>
      <c r="G17" s="125"/>
    </row>
    <row r="18" spans="1:7" ht="15.75" x14ac:dyDescent="0.25">
      <c r="A18" s="71" t="s">
        <v>21</v>
      </c>
      <c r="B18" s="72" t="s">
        <v>22</v>
      </c>
      <c r="C18" s="72"/>
      <c r="D18" s="72"/>
      <c r="E18" s="73">
        <f>E19</f>
        <v>1343.2160000000001</v>
      </c>
    </row>
    <row r="19" spans="1:7" ht="15.75" x14ac:dyDescent="0.25">
      <c r="A19" s="74" t="s">
        <v>23</v>
      </c>
      <c r="B19" s="75" t="s">
        <v>22</v>
      </c>
      <c r="C19" s="75" t="s">
        <v>24</v>
      </c>
      <c r="D19" s="75"/>
      <c r="E19" s="76">
        <f>E20</f>
        <v>1343.2160000000001</v>
      </c>
    </row>
    <row r="20" spans="1:7" ht="15.75" x14ac:dyDescent="0.25">
      <c r="A20" s="74" t="s">
        <v>25</v>
      </c>
      <c r="B20" s="75" t="s">
        <v>22</v>
      </c>
      <c r="C20" s="75" t="s">
        <v>26</v>
      </c>
      <c r="D20" s="75"/>
      <c r="E20" s="76">
        <f>1266.593+76.623</f>
        <v>1343.2160000000001</v>
      </c>
    </row>
    <row r="21" spans="1:7" ht="15.75" x14ac:dyDescent="0.25">
      <c r="A21" s="74" t="s">
        <v>27</v>
      </c>
      <c r="B21" s="75" t="s">
        <v>22</v>
      </c>
      <c r="C21" s="75" t="s">
        <v>28</v>
      </c>
      <c r="D21" s="75"/>
      <c r="E21" s="76">
        <f>E22</f>
        <v>916.74300000000005</v>
      </c>
    </row>
    <row r="22" spans="1:7" ht="47.25" x14ac:dyDescent="0.25">
      <c r="A22" s="77" t="s">
        <v>29</v>
      </c>
      <c r="B22" s="78" t="s">
        <v>22</v>
      </c>
      <c r="C22" s="78" t="s">
        <v>28</v>
      </c>
      <c r="D22" s="78" t="s">
        <v>30</v>
      </c>
      <c r="E22" s="79">
        <f>76.623+840.12</f>
        <v>916.74300000000005</v>
      </c>
    </row>
    <row r="23" spans="1:7" ht="31.5" x14ac:dyDescent="0.25">
      <c r="A23" s="74" t="s">
        <v>31</v>
      </c>
      <c r="B23" s="75" t="s">
        <v>22</v>
      </c>
      <c r="C23" s="75" t="s">
        <v>32</v>
      </c>
      <c r="D23" s="75"/>
      <c r="E23" s="76">
        <v>19.013000000000002</v>
      </c>
    </row>
    <row r="24" spans="1:7" ht="15.75" x14ac:dyDescent="0.25">
      <c r="A24" s="77" t="s">
        <v>33</v>
      </c>
      <c r="B24" s="78" t="s">
        <v>22</v>
      </c>
      <c r="C24" s="78" t="s">
        <v>32</v>
      </c>
      <c r="D24" s="78" t="s">
        <v>7</v>
      </c>
      <c r="E24" s="79">
        <v>19.013000000000002</v>
      </c>
    </row>
    <row r="25" spans="1:7" ht="47.25" x14ac:dyDescent="0.25">
      <c r="A25" s="74" t="s">
        <v>34</v>
      </c>
      <c r="B25" s="75" t="s">
        <v>22</v>
      </c>
      <c r="C25" s="75" t="s">
        <v>35</v>
      </c>
      <c r="D25" s="75"/>
      <c r="E25" s="76">
        <v>407.46</v>
      </c>
    </row>
    <row r="26" spans="1:7" ht="47.25" x14ac:dyDescent="0.25">
      <c r="A26" s="77" t="s">
        <v>29</v>
      </c>
      <c r="B26" s="78" t="s">
        <v>22</v>
      </c>
      <c r="C26" s="78" t="s">
        <v>35</v>
      </c>
      <c r="D26" s="78" t="s">
        <v>30</v>
      </c>
      <c r="E26" s="79">
        <v>390.57</v>
      </c>
    </row>
    <row r="27" spans="1:7" ht="15.75" x14ac:dyDescent="0.25">
      <c r="A27" s="77" t="s">
        <v>33</v>
      </c>
      <c r="B27" s="78" t="s">
        <v>22</v>
      </c>
      <c r="C27" s="78" t="s">
        <v>35</v>
      </c>
      <c r="D27" s="78" t="s">
        <v>7</v>
      </c>
      <c r="E27" s="79">
        <v>16.89</v>
      </c>
    </row>
    <row r="28" spans="1:7" ht="15.75" x14ac:dyDescent="0.25">
      <c r="A28" s="71" t="s">
        <v>36</v>
      </c>
      <c r="B28" s="72" t="s">
        <v>37</v>
      </c>
      <c r="C28" s="72"/>
      <c r="D28" s="72"/>
      <c r="E28" s="73">
        <f>E29</f>
        <v>430</v>
      </c>
    </row>
    <row r="29" spans="1:7" ht="15.75" x14ac:dyDescent="0.25">
      <c r="A29" s="74" t="s">
        <v>23</v>
      </c>
      <c r="B29" s="75" t="s">
        <v>37</v>
      </c>
      <c r="C29" s="75" t="s">
        <v>24</v>
      </c>
      <c r="D29" s="75"/>
      <c r="E29" s="76">
        <f>E30</f>
        <v>430</v>
      </c>
    </row>
    <row r="30" spans="1:7" ht="15.75" x14ac:dyDescent="0.25">
      <c r="A30" s="74" t="s">
        <v>25</v>
      </c>
      <c r="B30" s="75" t="s">
        <v>37</v>
      </c>
      <c r="C30" s="75" t="s">
        <v>26</v>
      </c>
      <c r="D30" s="75"/>
      <c r="E30" s="76">
        <f>E31</f>
        <v>430</v>
      </c>
    </row>
    <row r="31" spans="1:7" ht="15.75" x14ac:dyDescent="0.25">
      <c r="A31" s="74" t="s">
        <v>38</v>
      </c>
      <c r="B31" s="75" t="s">
        <v>37</v>
      </c>
      <c r="C31" s="75" t="s">
        <v>39</v>
      </c>
      <c r="D31" s="75"/>
      <c r="E31" s="76">
        <f>E32</f>
        <v>430</v>
      </c>
    </row>
    <row r="32" spans="1:7" ht="15.75" x14ac:dyDescent="0.25">
      <c r="A32" s="77" t="s">
        <v>33</v>
      </c>
      <c r="B32" s="78" t="s">
        <v>37</v>
      </c>
      <c r="C32" s="78" t="s">
        <v>39</v>
      </c>
      <c r="D32" s="78" t="s">
        <v>7</v>
      </c>
      <c r="E32" s="79">
        <f>150+280</f>
        <v>430</v>
      </c>
    </row>
    <row r="33" spans="1:6" s="80" customFormat="1" ht="15.75" x14ac:dyDescent="0.25">
      <c r="A33" s="71" t="s">
        <v>344</v>
      </c>
      <c r="B33" s="72" t="s">
        <v>345</v>
      </c>
      <c r="C33" s="72"/>
      <c r="D33" s="72"/>
      <c r="E33" s="73">
        <f>E34+E57+E83+E104+E121+E140+E150</f>
        <v>106497.26860999998</v>
      </c>
    </row>
    <row r="34" spans="1:6" s="80" customFormat="1" ht="15.75" x14ac:dyDescent="0.25">
      <c r="A34" s="104" t="s">
        <v>40</v>
      </c>
      <c r="B34" s="105" t="s">
        <v>345</v>
      </c>
      <c r="C34" s="105" t="s">
        <v>346</v>
      </c>
      <c r="D34" s="105"/>
      <c r="E34" s="106">
        <f>3778.90133-20.60557</f>
        <v>3758.29576</v>
      </c>
    </row>
    <row r="35" spans="1:6" s="80" customFormat="1" ht="15.75" x14ac:dyDescent="0.25">
      <c r="A35" s="104" t="s">
        <v>41</v>
      </c>
      <c r="B35" s="105" t="s">
        <v>345</v>
      </c>
      <c r="C35" s="105" t="s">
        <v>347</v>
      </c>
      <c r="D35" s="105"/>
      <c r="E35" s="106">
        <f>2883.89633-20.60557</f>
        <v>2863.2907599999999</v>
      </c>
    </row>
    <row r="36" spans="1:6" s="80" customFormat="1" ht="31.5" x14ac:dyDescent="0.25">
      <c r="A36" s="104" t="s">
        <v>42</v>
      </c>
      <c r="B36" s="105" t="s">
        <v>345</v>
      </c>
      <c r="C36" s="105" t="s">
        <v>348</v>
      </c>
      <c r="D36" s="105"/>
      <c r="E36" s="106">
        <v>134.5</v>
      </c>
    </row>
    <row r="37" spans="1:6" s="80" customFormat="1" ht="63" x14ac:dyDescent="0.25">
      <c r="A37" s="107" t="s">
        <v>349</v>
      </c>
      <c r="B37" s="105" t="s">
        <v>345</v>
      </c>
      <c r="C37" s="105" t="s">
        <v>350</v>
      </c>
      <c r="D37" s="105"/>
      <c r="E37" s="106">
        <v>134.5</v>
      </c>
    </row>
    <row r="38" spans="1:6" s="80" customFormat="1" ht="15.75" x14ac:dyDescent="0.25">
      <c r="A38" s="108" t="s">
        <v>43</v>
      </c>
      <c r="B38" s="109" t="s">
        <v>345</v>
      </c>
      <c r="C38" s="109" t="s">
        <v>350</v>
      </c>
      <c r="D38" s="109" t="s">
        <v>44</v>
      </c>
      <c r="E38" s="110">
        <v>134.5</v>
      </c>
    </row>
    <row r="39" spans="1:6" s="80" customFormat="1" ht="47.25" x14ac:dyDescent="0.25">
      <c r="A39" s="104" t="s">
        <v>45</v>
      </c>
      <c r="B39" s="105" t="s">
        <v>345</v>
      </c>
      <c r="C39" s="105" t="s">
        <v>351</v>
      </c>
      <c r="D39" s="105"/>
      <c r="E39" s="106">
        <v>300</v>
      </c>
    </row>
    <row r="40" spans="1:6" s="80" customFormat="1" ht="15.75" x14ac:dyDescent="0.25">
      <c r="A40" s="108" t="s">
        <v>43</v>
      </c>
      <c r="B40" s="109" t="s">
        <v>345</v>
      </c>
      <c r="C40" s="109" t="s">
        <v>351</v>
      </c>
      <c r="D40" s="109" t="s">
        <v>44</v>
      </c>
      <c r="E40" s="110">
        <v>300</v>
      </c>
    </row>
    <row r="41" spans="1:6" s="80" customFormat="1" ht="47.25" x14ac:dyDescent="0.25">
      <c r="A41" s="104" t="s">
        <v>487</v>
      </c>
      <c r="B41" s="105" t="s">
        <v>345</v>
      </c>
      <c r="C41" s="105" t="s">
        <v>488</v>
      </c>
      <c r="D41" s="105"/>
      <c r="E41" s="106">
        <v>120.49299999999999</v>
      </c>
    </row>
    <row r="42" spans="1:6" s="80" customFormat="1" ht="15.75" x14ac:dyDescent="0.25">
      <c r="A42" s="108" t="s">
        <v>46</v>
      </c>
      <c r="B42" s="109" t="s">
        <v>345</v>
      </c>
      <c r="C42" s="109" t="s">
        <v>488</v>
      </c>
      <c r="D42" s="109" t="s">
        <v>47</v>
      </c>
      <c r="E42" s="110">
        <v>120.49299999999999</v>
      </c>
      <c r="F42" s="135">
        <f>E42+E46+E56+E62+E65+E71+E73+E77+E79+E82+E91+E95+E97+E101+E132+E134+E137+E139+E406+E408+E416+E420+E422+E428</f>
        <v>67107.709000000003</v>
      </c>
    </row>
    <row r="43" spans="1:6" s="80" customFormat="1" ht="47.25" x14ac:dyDescent="0.25">
      <c r="A43" s="104" t="s">
        <v>352</v>
      </c>
      <c r="B43" s="105" t="s">
        <v>345</v>
      </c>
      <c r="C43" s="105" t="s">
        <v>353</v>
      </c>
      <c r="D43" s="105"/>
      <c r="E43" s="106">
        <f>E44</f>
        <v>2028.7907630000002</v>
      </c>
    </row>
    <row r="44" spans="1:6" s="80" customFormat="1" ht="15.75" x14ac:dyDescent="0.25">
      <c r="A44" s="108" t="s">
        <v>43</v>
      </c>
      <c r="B44" s="109" t="s">
        <v>345</v>
      </c>
      <c r="C44" s="109" t="s">
        <v>353</v>
      </c>
      <c r="D44" s="109" t="s">
        <v>44</v>
      </c>
      <c r="E44" s="110">
        <f>-20.60557+2049.396333</f>
        <v>2028.7907630000002</v>
      </c>
    </row>
    <row r="45" spans="1:6" s="80" customFormat="1" ht="47.25" x14ac:dyDescent="0.25">
      <c r="A45" s="104" t="s">
        <v>354</v>
      </c>
      <c r="B45" s="105" t="s">
        <v>345</v>
      </c>
      <c r="C45" s="105" t="s">
        <v>355</v>
      </c>
      <c r="D45" s="105"/>
      <c r="E45" s="106">
        <v>279.50700000000001</v>
      </c>
    </row>
    <row r="46" spans="1:6" s="80" customFormat="1" ht="15.75" x14ac:dyDescent="0.25">
      <c r="A46" s="108" t="s">
        <v>46</v>
      </c>
      <c r="B46" s="109" t="s">
        <v>345</v>
      </c>
      <c r="C46" s="109" t="s">
        <v>355</v>
      </c>
      <c r="D46" s="109" t="s">
        <v>47</v>
      </c>
      <c r="E46" s="110">
        <v>279.50700000000001</v>
      </c>
    </row>
    <row r="47" spans="1:6" s="80" customFormat="1" ht="31.5" x14ac:dyDescent="0.25">
      <c r="A47" s="104" t="s">
        <v>48</v>
      </c>
      <c r="B47" s="105" t="s">
        <v>345</v>
      </c>
      <c r="C47" s="105" t="s">
        <v>356</v>
      </c>
      <c r="D47" s="105"/>
      <c r="E47" s="106">
        <v>571.42899999999997</v>
      </c>
    </row>
    <row r="48" spans="1:6" s="80" customFormat="1" ht="15.75" x14ac:dyDescent="0.25">
      <c r="A48" s="104" t="s">
        <v>49</v>
      </c>
      <c r="B48" s="105" t="s">
        <v>345</v>
      </c>
      <c r="C48" s="105" t="s">
        <v>357</v>
      </c>
      <c r="D48" s="105"/>
      <c r="E48" s="106">
        <v>571.42899999999997</v>
      </c>
    </row>
    <row r="49" spans="1:5" s="80" customFormat="1" ht="31.5" x14ac:dyDescent="0.25">
      <c r="A49" s="104" t="s">
        <v>358</v>
      </c>
      <c r="B49" s="105" t="s">
        <v>345</v>
      </c>
      <c r="C49" s="105" t="s">
        <v>359</v>
      </c>
      <c r="D49" s="105"/>
      <c r="E49" s="106">
        <v>571.42899999999997</v>
      </c>
    </row>
    <row r="50" spans="1:5" s="80" customFormat="1" ht="15.75" x14ac:dyDescent="0.25">
      <c r="A50" s="108" t="s">
        <v>43</v>
      </c>
      <c r="B50" s="109" t="s">
        <v>345</v>
      </c>
      <c r="C50" s="109" t="s">
        <v>359</v>
      </c>
      <c r="D50" s="109" t="s">
        <v>44</v>
      </c>
      <c r="E50" s="110">
        <v>571.42899999999997</v>
      </c>
    </row>
    <row r="51" spans="1:5" s="80" customFormat="1" ht="15.75" x14ac:dyDescent="0.25">
      <c r="A51" s="104" t="s">
        <v>50</v>
      </c>
      <c r="B51" s="105" t="s">
        <v>345</v>
      </c>
      <c r="C51" s="105" t="s">
        <v>360</v>
      </c>
      <c r="D51" s="105"/>
      <c r="E51" s="106">
        <v>150</v>
      </c>
    </row>
    <row r="52" spans="1:5" s="80" customFormat="1" ht="31.5" x14ac:dyDescent="0.25">
      <c r="A52" s="104" t="s">
        <v>361</v>
      </c>
      <c r="B52" s="105" t="s">
        <v>345</v>
      </c>
      <c r="C52" s="105" t="s">
        <v>362</v>
      </c>
      <c r="D52" s="105"/>
      <c r="E52" s="106">
        <v>150</v>
      </c>
    </row>
    <row r="53" spans="1:5" s="80" customFormat="1" ht="15.75" x14ac:dyDescent="0.25">
      <c r="A53" s="108" t="s">
        <v>43</v>
      </c>
      <c r="B53" s="109" t="s">
        <v>345</v>
      </c>
      <c r="C53" s="109" t="s">
        <v>362</v>
      </c>
      <c r="D53" s="109" t="s">
        <v>44</v>
      </c>
      <c r="E53" s="110">
        <v>150</v>
      </c>
    </row>
    <row r="54" spans="1:5" s="80" customFormat="1" ht="15.75" x14ac:dyDescent="0.25">
      <c r="A54" s="104" t="s">
        <v>51</v>
      </c>
      <c r="B54" s="105" t="s">
        <v>345</v>
      </c>
      <c r="C54" s="105" t="s">
        <v>363</v>
      </c>
      <c r="D54" s="105"/>
      <c r="E54" s="106">
        <v>173.57599999999999</v>
      </c>
    </row>
    <row r="55" spans="1:5" s="80" customFormat="1" ht="31.5" x14ac:dyDescent="0.25">
      <c r="A55" s="104" t="s">
        <v>364</v>
      </c>
      <c r="B55" s="105" t="s">
        <v>345</v>
      </c>
      <c r="C55" s="105" t="s">
        <v>365</v>
      </c>
      <c r="D55" s="105"/>
      <c r="E55" s="106">
        <v>173.57599999999999</v>
      </c>
    </row>
    <row r="56" spans="1:5" s="80" customFormat="1" ht="15.75" x14ac:dyDescent="0.25">
      <c r="A56" s="108" t="s">
        <v>46</v>
      </c>
      <c r="B56" s="109" t="s">
        <v>345</v>
      </c>
      <c r="C56" s="109" t="s">
        <v>365</v>
      </c>
      <c r="D56" s="109" t="s">
        <v>47</v>
      </c>
      <c r="E56" s="110">
        <v>173.57599999999999</v>
      </c>
    </row>
    <row r="57" spans="1:5" s="80" customFormat="1" ht="25.5" customHeight="1" x14ac:dyDescent="0.25">
      <c r="A57" s="104" t="s">
        <v>52</v>
      </c>
      <c r="B57" s="105" t="s">
        <v>345</v>
      </c>
      <c r="C57" s="105" t="s">
        <v>53</v>
      </c>
      <c r="D57" s="105"/>
      <c r="E57" s="106">
        <v>25410.778999999999</v>
      </c>
    </row>
    <row r="58" spans="1:5" s="80" customFormat="1" ht="31.5" x14ac:dyDescent="0.25">
      <c r="A58" s="104" t="s">
        <v>54</v>
      </c>
      <c r="B58" s="105" t="s">
        <v>345</v>
      </c>
      <c r="C58" s="105" t="s">
        <v>55</v>
      </c>
      <c r="D58" s="105"/>
      <c r="E58" s="106">
        <f>25110.779</f>
        <v>25110.778999999999</v>
      </c>
    </row>
    <row r="59" spans="1:5" s="80" customFormat="1" ht="15.75" x14ac:dyDescent="0.25">
      <c r="A59" s="104" t="s">
        <v>56</v>
      </c>
      <c r="B59" s="105" t="s">
        <v>345</v>
      </c>
      <c r="C59" s="105" t="s">
        <v>57</v>
      </c>
      <c r="D59" s="105"/>
      <c r="E59" s="106">
        <f>E60</f>
        <v>2745.1659999999997</v>
      </c>
    </row>
    <row r="60" spans="1:5" s="80" customFormat="1" ht="15.75" x14ac:dyDescent="0.25">
      <c r="A60" s="108" t="s">
        <v>33</v>
      </c>
      <c r="B60" s="109" t="s">
        <v>345</v>
      </c>
      <c r="C60" s="109" t="s">
        <v>57</v>
      </c>
      <c r="D60" s="109" t="s">
        <v>7</v>
      </c>
      <c r="E60" s="110">
        <f>3393.187-800+151.979</f>
        <v>2745.1659999999997</v>
      </c>
    </row>
    <row r="61" spans="1:5" s="80" customFormat="1" ht="15.75" x14ac:dyDescent="0.25">
      <c r="A61" s="104" t="s">
        <v>489</v>
      </c>
      <c r="B61" s="105" t="s">
        <v>345</v>
      </c>
      <c r="C61" s="105" t="s">
        <v>366</v>
      </c>
      <c r="D61" s="105"/>
      <c r="E61" s="106">
        <v>2114.6</v>
      </c>
    </row>
    <row r="62" spans="1:5" s="80" customFormat="1" ht="15.75" x14ac:dyDescent="0.25">
      <c r="A62" s="108" t="s">
        <v>46</v>
      </c>
      <c r="B62" s="109" t="s">
        <v>345</v>
      </c>
      <c r="C62" s="109" t="s">
        <v>366</v>
      </c>
      <c r="D62" s="109" t="s">
        <v>47</v>
      </c>
      <c r="E62" s="110">
        <v>2114.6</v>
      </c>
    </row>
    <row r="63" spans="1:5" s="80" customFormat="1" ht="15.75" x14ac:dyDescent="0.25">
      <c r="A63" s="104" t="s">
        <v>56</v>
      </c>
      <c r="B63" s="105" t="s">
        <v>345</v>
      </c>
      <c r="C63" s="105" t="s">
        <v>367</v>
      </c>
      <c r="D63" s="105"/>
      <c r="E63" s="106">
        <v>9034.1229999999996</v>
      </c>
    </row>
    <row r="64" spans="1:5" s="80" customFormat="1" ht="15.75" x14ac:dyDescent="0.25">
      <c r="A64" s="108" t="s">
        <v>33</v>
      </c>
      <c r="B64" s="109" t="s">
        <v>345</v>
      </c>
      <c r="C64" s="109" t="s">
        <v>367</v>
      </c>
      <c r="D64" s="109" t="s">
        <v>7</v>
      </c>
      <c r="E64" s="110">
        <v>9003.1350000000002</v>
      </c>
    </row>
    <row r="65" spans="1:5" s="80" customFormat="1" ht="15.75" x14ac:dyDescent="0.25">
      <c r="A65" s="108" t="s">
        <v>46</v>
      </c>
      <c r="B65" s="109" t="s">
        <v>345</v>
      </c>
      <c r="C65" s="109" t="s">
        <v>367</v>
      </c>
      <c r="D65" s="109" t="s">
        <v>47</v>
      </c>
      <c r="E65" s="110">
        <v>30.988</v>
      </c>
    </row>
    <row r="66" spans="1:5" s="80" customFormat="1" ht="31.5" x14ac:dyDescent="0.25">
      <c r="A66" s="104" t="s">
        <v>58</v>
      </c>
      <c r="B66" s="105" t="s">
        <v>345</v>
      </c>
      <c r="C66" s="105" t="s">
        <v>368</v>
      </c>
      <c r="D66" s="105"/>
      <c r="E66" s="106">
        <f>E67</f>
        <v>5007.3159299999998</v>
      </c>
    </row>
    <row r="67" spans="1:5" s="80" customFormat="1" ht="15.75" x14ac:dyDescent="0.25">
      <c r="A67" s="108" t="s">
        <v>33</v>
      </c>
      <c r="B67" s="109" t="s">
        <v>345</v>
      </c>
      <c r="C67" s="109" t="s">
        <v>368</v>
      </c>
      <c r="D67" s="109" t="s">
        <v>7</v>
      </c>
      <c r="E67" s="110">
        <f>800+4359.295-1.12473-150.85434</f>
        <v>5007.3159299999998</v>
      </c>
    </row>
    <row r="68" spans="1:5" s="80" customFormat="1" ht="15.75" x14ac:dyDescent="0.25">
      <c r="A68" s="104" t="s">
        <v>59</v>
      </c>
      <c r="B68" s="105" t="s">
        <v>345</v>
      </c>
      <c r="C68" s="105" t="s">
        <v>369</v>
      </c>
      <c r="D68" s="105"/>
      <c r="E68" s="106">
        <v>448.42500000000001</v>
      </c>
    </row>
    <row r="69" spans="1:5" s="80" customFormat="1" ht="15.75" x14ac:dyDescent="0.25">
      <c r="A69" s="108" t="s">
        <v>33</v>
      </c>
      <c r="B69" s="109" t="s">
        <v>345</v>
      </c>
      <c r="C69" s="109" t="s">
        <v>369</v>
      </c>
      <c r="D69" s="109" t="s">
        <v>7</v>
      </c>
      <c r="E69" s="110">
        <v>448.42500000000001</v>
      </c>
    </row>
    <row r="70" spans="1:5" s="80" customFormat="1" ht="47.25" x14ac:dyDescent="0.25">
      <c r="A70" s="104" t="s">
        <v>60</v>
      </c>
      <c r="B70" s="105" t="s">
        <v>345</v>
      </c>
      <c r="C70" s="105" t="s">
        <v>370</v>
      </c>
      <c r="D70" s="105"/>
      <c r="E70" s="106">
        <v>3261.0610000000001</v>
      </c>
    </row>
    <row r="71" spans="1:5" s="80" customFormat="1" ht="15.75" x14ac:dyDescent="0.25">
      <c r="A71" s="108" t="s">
        <v>46</v>
      </c>
      <c r="B71" s="109" t="s">
        <v>345</v>
      </c>
      <c r="C71" s="109" t="s">
        <v>370</v>
      </c>
      <c r="D71" s="109" t="s">
        <v>47</v>
      </c>
      <c r="E71" s="110">
        <v>3261.0610000000001</v>
      </c>
    </row>
    <row r="72" spans="1:5" s="80" customFormat="1" ht="47.25" x14ac:dyDescent="0.25">
      <c r="A72" s="104" t="s">
        <v>61</v>
      </c>
      <c r="B72" s="105" t="s">
        <v>345</v>
      </c>
      <c r="C72" s="105" t="s">
        <v>371</v>
      </c>
      <c r="D72" s="105"/>
      <c r="E72" s="106">
        <v>0.216</v>
      </c>
    </row>
    <row r="73" spans="1:5" s="80" customFormat="1" ht="15.75" x14ac:dyDescent="0.25">
      <c r="A73" s="108" t="s">
        <v>46</v>
      </c>
      <c r="B73" s="109" t="s">
        <v>345</v>
      </c>
      <c r="C73" s="109" t="s">
        <v>371</v>
      </c>
      <c r="D73" s="109" t="s">
        <v>47</v>
      </c>
      <c r="E73" s="110">
        <v>0.216</v>
      </c>
    </row>
    <row r="74" spans="1:5" s="80" customFormat="1" ht="15.75" x14ac:dyDescent="0.25">
      <c r="A74" s="104" t="s">
        <v>62</v>
      </c>
      <c r="B74" s="105" t="s">
        <v>345</v>
      </c>
      <c r="C74" s="105" t="s">
        <v>372</v>
      </c>
      <c r="D74" s="105"/>
      <c r="E74" s="106">
        <v>1099.8720000000001</v>
      </c>
    </row>
    <row r="75" spans="1:5" s="80" customFormat="1" ht="15.75" x14ac:dyDescent="0.25">
      <c r="A75" s="108" t="s">
        <v>33</v>
      </c>
      <c r="B75" s="109" t="s">
        <v>345</v>
      </c>
      <c r="C75" s="109" t="s">
        <v>372</v>
      </c>
      <c r="D75" s="109" t="s">
        <v>7</v>
      </c>
      <c r="E75" s="110">
        <v>1099.8720000000001</v>
      </c>
    </row>
    <row r="76" spans="1:5" s="80" customFormat="1" ht="15.75" x14ac:dyDescent="0.25">
      <c r="A76" s="104" t="s">
        <v>63</v>
      </c>
      <c r="B76" s="105" t="s">
        <v>345</v>
      </c>
      <c r="C76" s="105" t="s">
        <v>373</v>
      </c>
      <c r="D76" s="105"/>
      <c r="E76" s="106">
        <v>1100</v>
      </c>
    </row>
    <row r="77" spans="1:5" s="80" customFormat="1" ht="15.75" x14ac:dyDescent="0.25">
      <c r="A77" s="108" t="s">
        <v>46</v>
      </c>
      <c r="B77" s="109" t="s">
        <v>345</v>
      </c>
      <c r="C77" s="109" t="s">
        <v>373</v>
      </c>
      <c r="D77" s="109" t="s">
        <v>47</v>
      </c>
      <c r="E77" s="110">
        <v>1100</v>
      </c>
    </row>
    <row r="78" spans="1:5" s="80" customFormat="1" ht="15.75" x14ac:dyDescent="0.25">
      <c r="A78" s="104" t="s">
        <v>64</v>
      </c>
      <c r="B78" s="105" t="s">
        <v>345</v>
      </c>
      <c r="C78" s="105" t="s">
        <v>374</v>
      </c>
      <c r="D78" s="105"/>
      <c r="E78" s="106">
        <v>300</v>
      </c>
    </row>
    <row r="79" spans="1:5" s="80" customFormat="1" ht="15.75" x14ac:dyDescent="0.25">
      <c r="A79" s="108" t="s">
        <v>46</v>
      </c>
      <c r="B79" s="109" t="s">
        <v>345</v>
      </c>
      <c r="C79" s="109" t="s">
        <v>374</v>
      </c>
      <c r="D79" s="109" t="s">
        <v>47</v>
      </c>
      <c r="E79" s="110">
        <v>300</v>
      </c>
    </row>
    <row r="80" spans="1:5" s="80" customFormat="1" ht="15.75" x14ac:dyDescent="0.25">
      <c r="A80" s="104" t="s">
        <v>65</v>
      </c>
      <c r="B80" s="105" t="s">
        <v>345</v>
      </c>
      <c r="C80" s="105" t="s">
        <v>375</v>
      </c>
      <c r="D80" s="105"/>
      <c r="E80" s="106">
        <v>300</v>
      </c>
    </row>
    <row r="81" spans="1:5" s="80" customFormat="1" ht="15.75" x14ac:dyDescent="0.25">
      <c r="A81" s="104" t="s">
        <v>66</v>
      </c>
      <c r="B81" s="105" t="s">
        <v>345</v>
      </c>
      <c r="C81" s="105" t="s">
        <v>376</v>
      </c>
      <c r="D81" s="105"/>
      <c r="E81" s="106">
        <v>300</v>
      </c>
    </row>
    <row r="82" spans="1:5" s="80" customFormat="1" ht="15.75" x14ac:dyDescent="0.25">
      <c r="A82" s="108" t="s">
        <v>46</v>
      </c>
      <c r="B82" s="109" t="s">
        <v>345</v>
      </c>
      <c r="C82" s="109" t="s">
        <v>376</v>
      </c>
      <c r="D82" s="109" t="s">
        <v>47</v>
      </c>
      <c r="E82" s="110">
        <v>300</v>
      </c>
    </row>
    <row r="83" spans="1:5" s="80" customFormat="1" ht="31.5" x14ac:dyDescent="0.25">
      <c r="A83" s="104" t="s">
        <v>67</v>
      </c>
      <c r="B83" s="105" t="s">
        <v>345</v>
      </c>
      <c r="C83" s="105" t="s">
        <v>68</v>
      </c>
      <c r="D83" s="105"/>
      <c r="E83" s="106">
        <f>E84+E92</f>
        <v>6484.0300000000007</v>
      </c>
    </row>
    <row r="84" spans="1:5" s="80" customFormat="1" ht="31.5" x14ac:dyDescent="0.25">
      <c r="A84" s="104" t="s">
        <v>69</v>
      </c>
      <c r="B84" s="105" t="s">
        <v>345</v>
      </c>
      <c r="C84" s="105" t="s">
        <v>70</v>
      </c>
      <c r="D84" s="105"/>
      <c r="E84" s="106">
        <f>E85+E87+E89</f>
        <v>4794.0200000000004</v>
      </c>
    </row>
    <row r="85" spans="1:5" s="80" customFormat="1" ht="31.5" x14ac:dyDescent="0.25">
      <c r="A85" s="104" t="s">
        <v>377</v>
      </c>
      <c r="B85" s="105" t="s">
        <v>345</v>
      </c>
      <c r="C85" s="105" t="s">
        <v>378</v>
      </c>
      <c r="D85" s="105"/>
      <c r="E85" s="106">
        <v>834.49800000000005</v>
      </c>
    </row>
    <row r="86" spans="1:5" s="80" customFormat="1" ht="15.75" x14ac:dyDescent="0.25">
      <c r="A86" s="108" t="s">
        <v>71</v>
      </c>
      <c r="B86" s="109" t="s">
        <v>345</v>
      </c>
      <c r="C86" s="109" t="s">
        <v>378</v>
      </c>
      <c r="D86" s="109" t="s">
        <v>8</v>
      </c>
      <c r="E86" s="110">
        <v>834.49800000000005</v>
      </c>
    </row>
    <row r="87" spans="1:5" s="80" customFormat="1" ht="47.25" x14ac:dyDescent="0.25">
      <c r="A87" s="104" t="s">
        <v>379</v>
      </c>
      <c r="B87" s="105" t="s">
        <v>345</v>
      </c>
      <c r="C87" s="105" t="s">
        <v>380</v>
      </c>
      <c r="D87" s="105"/>
      <c r="E87" s="106">
        <v>834.49800000000005</v>
      </c>
    </row>
    <row r="88" spans="1:5" s="80" customFormat="1" ht="15.75" x14ac:dyDescent="0.25">
      <c r="A88" s="108" t="s">
        <v>71</v>
      </c>
      <c r="B88" s="109" t="s">
        <v>345</v>
      </c>
      <c r="C88" s="109" t="s">
        <v>380</v>
      </c>
      <c r="D88" s="109" t="s">
        <v>8</v>
      </c>
      <c r="E88" s="110">
        <v>834.49800000000005</v>
      </c>
    </row>
    <row r="89" spans="1:5" s="80" customFormat="1" ht="15.75" x14ac:dyDescent="0.25">
      <c r="A89" s="104" t="s">
        <v>72</v>
      </c>
      <c r="B89" s="105" t="s">
        <v>345</v>
      </c>
      <c r="C89" s="105" t="s">
        <v>381</v>
      </c>
      <c r="D89" s="105"/>
      <c r="E89" s="106">
        <f>E90</f>
        <v>3125.0239999999999</v>
      </c>
    </row>
    <row r="90" spans="1:5" s="80" customFormat="1" ht="15.75" x14ac:dyDescent="0.25">
      <c r="A90" s="104" t="s">
        <v>72</v>
      </c>
      <c r="B90" s="105" t="s">
        <v>345</v>
      </c>
      <c r="C90" s="105" t="s">
        <v>382</v>
      </c>
      <c r="D90" s="105"/>
      <c r="E90" s="106">
        <f>E91</f>
        <v>3125.0239999999999</v>
      </c>
    </row>
    <row r="91" spans="1:5" s="80" customFormat="1" ht="15.75" x14ac:dyDescent="0.25">
      <c r="A91" s="108" t="s">
        <v>46</v>
      </c>
      <c r="B91" s="109" t="s">
        <v>345</v>
      </c>
      <c r="C91" s="109" t="s">
        <v>382</v>
      </c>
      <c r="D91" s="109" t="s">
        <v>47</v>
      </c>
      <c r="E91" s="110">
        <v>3125.0239999999999</v>
      </c>
    </row>
    <row r="92" spans="1:5" s="80" customFormat="1" ht="31.5" x14ac:dyDescent="0.25">
      <c r="A92" s="104" t="s">
        <v>73</v>
      </c>
      <c r="B92" s="105" t="s">
        <v>345</v>
      </c>
      <c r="C92" s="105" t="s">
        <v>74</v>
      </c>
      <c r="D92" s="105"/>
      <c r="E92" s="106">
        <f>E93+E96+E98+E102+E100</f>
        <v>1690.01</v>
      </c>
    </row>
    <row r="93" spans="1:5" s="80" customFormat="1" ht="15.75" x14ac:dyDescent="0.25">
      <c r="A93" s="104" t="s">
        <v>75</v>
      </c>
      <c r="B93" s="105" t="s">
        <v>345</v>
      </c>
      <c r="C93" s="105" t="s">
        <v>383</v>
      </c>
      <c r="D93" s="105"/>
      <c r="E93" s="106">
        <f>E94</f>
        <v>88.141999999999996</v>
      </c>
    </row>
    <row r="94" spans="1:5" s="80" customFormat="1" ht="15.75" x14ac:dyDescent="0.25">
      <c r="A94" s="104" t="s">
        <v>384</v>
      </c>
      <c r="B94" s="105" t="s">
        <v>345</v>
      </c>
      <c r="C94" s="105" t="s">
        <v>385</v>
      </c>
      <c r="D94" s="105"/>
      <c r="E94" s="106">
        <f>E95</f>
        <v>88.141999999999996</v>
      </c>
    </row>
    <row r="95" spans="1:5" s="80" customFormat="1" ht="15.75" x14ac:dyDescent="0.25">
      <c r="A95" s="108" t="s">
        <v>46</v>
      </c>
      <c r="B95" s="109" t="s">
        <v>345</v>
      </c>
      <c r="C95" s="109" t="s">
        <v>385</v>
      </c>
      <c r="D95" s="109" t="s">
        <v>47</v>
      </c>
      <c r="E95" s="110">
        <v>88.141999999999996</v>
      </c>
    </row>
    <row r="96" spans="1:5" s="80" customFormat="1" ht="31.5" x14ac:dyDescent="0.25">
      <c r="A96" s="104" t="s">
        <v>386</v>
      </c>
      <c r="B96" s="105" t="s">
        <v>345</v>
      </c>
      <c r="C96" s="105" t="s">
        <v>387</v>
      </c>
      <c r="D96" s="105"/>
      <c r="E96" s="106">
        <v>108.86799999999999</v>
      </c>
    </row>
    <row r="97" spans="1:5" s="80" customFormat="1" ht="15.75" x14ac:dyDescent="0.25">
      <c r="A97" s="108" t="s">
        <v>46</v>
      </c>
      <c r="B97" s="109" t="s">
        <v>345</v>
      </c>
      <c r="C97" s="109" t="s">
        <v>387</v>
      </c>
      <c r="D97" s="109" t="s">
        <v>47</v>
      </c>
      <c r="E97" s="110">
        <v>108.86799999999999</v>
      </c>
    </row>
    <row r="98" spans="1:5" s="80" customFormat="1" ht="31.5" x14ac:dyDescent="0.25">
      <c r="A98" s="104" t="s">
        <v>76</v>
      </c>
      <c r="B98" s="105" t="s">
        <v>345</v>
      </c>
      <c r="C98" s="105" t="s">
        <v>77</v>
      </c>
      <c r="D98" s="105"/>
      <c r="E98" s="106">
        <v>1000</v>
      </c>
    </row>
    <row r="99" spans="1:5" s="80" customFormat="1" ht="15.75" x14ac:dyDescent="0.25">
      <c r="A99" s="108" t="s">
        <v>33</v>
      </c>
      <c r="B99" s="109" t="s">
        <v>345</v>
      </c>
      <c r="C99" s="109" t="s">
        <v>77</v>
      </c>
      <c r="D99" s="109" t="s">
        <v>7</v>
      </c>
      <c r="E99" s="110">
        <v>1000</v>
      </c>
    </row>
    <row r="100" spans="1:5" s="80" customFormat="1" ht="31.5" x14ac:dyDescent="0.25">
      <c r="A100" s="104" t="s">
        <v>76</v>
      </c>
      <c r="B100" s="105" t="s">
        <v>345</v>
      </c>
      <c r="C100" s="105" t="s">
        <v>388</v>
      </c>
      <c r="D100" s="105"/>
      <c r="E100" s="106">
        <v>50</v>
      </c>
    </row>
    <row r="101" spans="1:5" s="80" customFormat="1" ht="15.75" x14ac:dyDescent="0.25">
      <c r="A101" s="108" t="s">
        <v>46</v>
      </c>
      <c r="B101" s="109" t="s">
        <v>345</v>
      </c>
      <c r="C101" s="109" t="s">
        <v>388</v>
      </c>
      <c r="D101" s="109" t="s">
        <v>47</v>
      </c>
      <c r="E101" s="110">
        <v>50</v>
      </c>
    </row>
    <row r="102" spans="1:5" s="80" customFormat="1" ht="15.75" x14ac:dyDescent="0.25">
      <c r="A102" s="104" t="s">
        <v>78</v>
      </c>
      <c r="B102" s="105" t="s">
        <v>345</v>
      </c>
      <c r="C102" s="105" t="s">
        <v>389</v>
      </c>
      <c r="D102" s="105"/>
      <c r="E102" s="106">
        <v>443</v>
      </c>
    </row>
    <row r="103" spans="1:5" s="80" customFormat="1" ht="15.75" x14ac:dyDescent="0.25">
      <c r="A103" s="108" t="s">
        <v>33</v>
      </c>
      <c r="B103" s="109" t="s">
        <v>345</v>
      </c>
      <c r="C103" s="109" t="s">
        <v>389</v>
      </c>
      <c r="D103" s="109" t="s">
        <v>7</v>
      </c>
      <c r="E103" s="110">
        <v>443</v>
      </c>
    </row>
    <row r="104" spans="1:5" s="80" customFormat="1" ht="31.5" x14ac:dyDescent="0.25">
      <c r="A104" s="104" t="s">
        <v>79</v>
      </c>
      <c r="B104" s="105" t="s">
        <v>345</v>
      </c>
      <c r="C104" s="105" t="s">
        <v>80</v>
      </c>
      <c r="D104" s="105"/>
      <c r="E104" s="106">
        <f>E105+E110+E113+E116</f>
        <v>40283.474999999999</v>
      </c>
    </row>
    <row r="105" spans="1:5" s="80" customFormat="1" ht="15.75" x14ac:dyDescent="0.25">
      <c r="A105" s="104" t="s">
        <v>81</v>
      </c>
      <c r="B105" s="105" t="s">
        <v>345</v>
      </c>
      <c r="C105" s="105" t="s">
        <v>390</v>
      </c>
      <c r="D105" s="105"/>
      <c r="E105" s="106">
        <f>E106+E108</f>
        <v>0</v>
      </c>
    </row>
    <row r="106" spans="1:5" s="80" customFormat="1" ht="15.75" x14ac:dyDescent="0.25">
      <c r="A106" s="104" t="s">
        <v>82</v>
      </c>
      <c r="B106" s="105" t="s">
        <v>345</v>
      </c>
      <c r="C106" s="105" t="s">
        <v>391</v>
      </c>
      <c r="D106" s="105"/>
      <c r="E106" s="106">
        <f>E107</f>
        <v>0</v>
      </c>
    </row>
    <row r="107" spans="1:5" s="80" customFormat="1" ht="15.75" x14ac:dyDescent="0.25">
      <c r="A107" s="108" t="s">
        <v>33</v>
      </c>
      <c r="B107" s="109" t="s">
        <v>345</v>
      </c>
      <c r="C107" s="109" t="s">
        <v>391</v>
      </c>
      <c r="D107" s="109" t="s">
        <v>7</v>
      </c>
      <c r="E107" s="110">
        <f>5-5</f>
        <v>0</v>
      </c>
    </row>
    <row r="108" spans="1:5" s="80" customFormat="1" ht="15.75" x14ac:dyDescent="0.25">
      <c r="A108" s="104" t="s">
        <v>83</v>
      </c>
      <c r="B108" s="105" t="s">
        <v>345</v>
      </c>
      <c r="C108" s="105" t="s">
        <v>392</v>
      </c>
      <c r="D108" s="105"/>
      <c r="E108" s="106">
        <f>E109</f>
        <v>0</v>
      </c>
    </row>
    <row r="109" spans="1:5" s="80" customFormat="1" ht="15.75" x14ac:dyDescent="0.25">
      <c r="A109" s="108" t="s">
        <v>33</v>
      </c>
      <c r="B109" s="109" t="s">
        <v>345</v>
      </c>
      <c r="C109" s="109" t="s">
        <v>392</v>
      </c>
      <c r="D109" s="109" t="s">
        <v>7</v>
      </c>
      <c r="E109" s="110">
        <f>5-5</f>
        <v>0</v>
      </c>
    </row>
    <row r="110" spans="1:5" s="80" customFormat="1" ht="15.75" x14ac:dyDescent="0.25">
      <c r="A110" s="104" t="s">
        <v>84</v>
      </c>
      <c r="B110" s="105" t="s">
        <v>345</v>
      </c>
      <c r="C110" s="105" t="s">
        <v>393</v>
      </c>
      <c r="D110" s="105"/>
      <c r="E110" s="106">
        <f>E111</f>
        <v>0</v>
      </c>
    </row>
    <row r="111" spans="1:5" s="80" customFormat="1" ht="15.75" x14ac:dyDescent="0.25">
      <c r="A111" s="104" t="s">
        <v>85</v>
      </c>
      <c r="B111" s="105" t="s">
        <v>345</v>
      </c>
      <c r="C111" s="105" t="s">
        <v>394</v>
      </c>
      <c r="D111" s="105"/>
      <c r="E111" s="106">
        <f>E112</f>
        <v>0</v>
      </c>
    </row>
    <row r="112" spans="1:5" s="80" customFormat="1" ht="15.75" x14ac:dyDescent="0.25">
      <c r="A112" s="108" t="s">
        <v>33</v>
      </c>
      <c r="B112" s="109" t="s">
        <v>345</v>
      </c>
      <c r="C112" s="109" t="s">
        <v>394</v>
      </c>
      <c r="D112" s="109" t="s">
        <v>7</v>
      </c>
      <c r="E112" s="110">
        <f>10-10</f>
        <v>0</v>
      </c>
    </row>
    <row r="113" spans="1:5" s="80" customFormat="1" ht="15.75" x14ac:dyDescent="0.25">
      <c r="A113" s="104" t="s">
        <v>86</v>
      </c>
      <c r="B113" s="105" t="s">
        <v>345</v>
      </c>
      <c r="C113" s="105" t="s">
        <v>395</v>
      </c>
      <c r="D113" s="105"/>
      <c r="E113" s="106">
        <v>20</v>
      </c>
    </row>
    <row r="114" spans="1:5" s="80" customFormat="1" ht="31.5" x14ac:dyDescent="0.25">
      <c r="A114" s="104" t="s">
        <v>87</v>
      </c>
      <c r="B114" s="105" t="s">
        <v>345</v>
      </c>
      <c r="C114" s="105" t="s">
        <v>396</v>
      </c>
      <c r="D114" s="105"/>
      <c r="E114" s="106">
        <v>20</v>
      </c>
    </row>
    <row r="115" spans="1:5" s="80" customFormat="1" ht="15.75" x14ac:dyDescent="0.25">
      <c r="A115" s="108" t="s">
        <v>33</v>
      </c>
      <c r="B115" s="109" t="s">
        <v>345</v>
      </c>
      <c r="C115" s="109" t="s">
        <v>396</v>
      </c>
      <c r="D115" s="109" t="s">
        <v>7</v>
      </c>
      <c r="E115" s="110">
        <v>20</v>
      </c>
    </row>
    <row r="116" spans="1:5" s="80" customFormat="1" ht="15.75" x14ac:dyDescent="0.25">
      <c r="A116" s="104" t="s">
        <v>88</v>
      </c>
      <c r="B116" s="105" t="s">
        <v>345</v>
      </c>
      <c r="C116" s="105" t="s">
        <v>397</v>
      </c>
      <c r="D116" s="105"/>
      <c r="E116" s="106">
        <f>E117</f>
        <v>40263.474999999999</v>
      </c>
    </row>
    <row r="117" spans="1:5" s="80" customFormat="1" ht="31.5" x14ac:dyDescent="0.25">
      <c r="A117" s="104" t="s">
        <v>89</v>
      </c>
      <c r="B117" s="105" t="s">
        <v>345</v>
      </c>
      <c r="C117" s="105" t="s">
        <v>398</v>
      </c>
      <c r="D117" s="105"/>
      <c r="E117" s="106">
        <f>E118+E119+E120</f>
        <v>40263.474999999999</v>
      </c>
    </row>
    <row r="118" spans="1:5" s="80" customFormat="1" ht="47.25" x14ac:dyDescent="0.25">
      <c r="A118" s="108" t="s">
        <v>29</v>
      </c>
      <c r="B118" s="109" t="s">
        <v>345</v>
      </c>
      <c r="C118" s="109" t="s">
        <v>398</v>
      </c>
      <c r="D118" s="109" t="s">
        <v>30</v>
      </c>
      <c r="E118" s="59">
        <f>-4.3+31137.511+2469.865+745.899</f>
        <v>34348.974999999999</v>
      </c>
    </row>
    <row r="119" spans="1:5" s="80" customFormat="1" ht="15.75" x14ac:dyDescent="0.25">
      <c r="A119" s="108" t="s">
        <v>33</v>
      </c>
      <c r="B119" s="109" t="s">
        <v>345</v>
      </c>
      <c r="C119" s="109" t="s">
        <v>398</v>
      </c>
      <c r="D119" s="109" t="s">
        <v>7</v>
      </c>
      <c r="E119" s="110">
        <f>5768.5</f>
        <v>5768.5</v>
      </c>
    </row>
    <row r="120" spans="1:5" s="80" customFormat="1" ht="15.75" x14ac:dyDescent="0.25">
      <c r="A120" s="108" t="s">
        <v>43</v>
      </c>
      <c r="B120" s="109" t="s">
        <v>345</v>
      </c>
      <c r="C120" s="109" t="s">
        <v>398</v>
      </c>
      <c r="D120" s="109" t="s">
        <v>44</v>
      </c>
      <c r="E120" s="110">
        <v>146</v>
      </c>
    </row>
    <row r="121" spans="1:5" s="80" customFormat="1" ht="31.5" x14ac:dyDescent="0.25">
      <c r="A121" s="104" t="s">
        <v>90</v>
      </c>
      <c r="B121" s="105" t="s">
        <v>345</v>
      </c>
      <c r="C121" s="105" t="s">
        <v>340</v>
      </c>
      <c r="D121" s="105"/>
      <c r="E121" s="106">
        <f>E122+E128+E135</f>
        <v>1679.961</v>
      </c>
    </row>
    <row r="122" spans="1:5" s="80" customFormat="1" ht="15.75" x14ac:dyDescent="0.25">
      <c r="A122" s="104" t="s">
        <v>91</v>
      </c>
      <c r="B122" s="105" t="s">
        <v>345</v>
      </c>
      <c r="C122" s="105" t="s">
        <v>399</v>
      </c>
      <c r="D122" s="105"/>
      <c r="E122" s="106">
        <f>E123+E126</f>
        <v>417.96100000000001</v>
      </c>
    </row>
    <row r="123" spans="1:5" s="80" customFormat="1" ht="31.5" x14ac:dyDescent="0.25">
      <c r="A123" s="104" t="s">
        <v>400</v>
      </c>
      <c r="B123" s="105" t="s">
        <v>345</v>
      </c>
      <c r="C123" s="105" t="s">
        <v>401</v>
      </c>
      <c r="D123" s="105"/>
      <c r="E123" s="106">
        <f>E124+E125</f>
        <v>414.96100000000001</v>
      </c>
    </row>
    <row r="124" spans="1:5" s="80" customFormat="1" ht="47.25" x14ac:dyDescent="0.25">
      <c r="A124" s="108" t="s">
        <v>29</v>
      </c>
      <c r="B124" s="109" t="s">
        <v>345</v>
      </c>
      <c r="C124" s="109" t="s">
        <v>401</v>
      </c>
      <c r="D124" s="124" t="s">
        <v>30</v>
      </c>
      <c r="E124" s="106">
        <v>55.284999999999997</v>
      </c>
    </row>
    <row r="125" spans="1:5" s="80" customFormat="1" ht="15.75" x14ac:dyDescent="0.25">
      <c r="A125" s="108" t="s">
        <v>33</v>
      </c>
      <c r="B125" s="109" t="s">
        <v>345</v>
      </c>
      <c r="C125" s="109" t="s">
        <v>401</v>
      </c>
      <c r="D125" s="109" t="s">
        <v>7</v>
      </c>
      <c r="E125" s="110">
        <f>411.254-55.285+3.746-0.039</f>
        <v>359.67600000000004</v>
      </c>
    </row>
    <row r="126" spans="1:5" s="80" customFormat="1" ht="15.75" x14ac:dyDescent="0.25">
      <c r="A126" s="104" t="s">
        <v>92</v>
      </c>
      <c r="B126" s="105" t="s">
        <v>345</v>
      </c>
      <c r="C126" s="105" t="s">
        <v>402</v>
      </c>
      <c r="D126" s="105"/>
      <c r="E126" s="106">
        <v>3</v>
      </c>
    </row>
    <row r="127" spans="1:5" s="80" customFormat="1" ht="15.75" x14ac:dyDescent="0.25">
      <c r="A127" s="108" t="s">
        <v>33</v>
      </c>
      <c r="B127" s="109" t="s">
        <v>345</v>
      </c>
      <c r="C127" s="109" t="s">
        <v>402</v>
      </c>
      <c r="D127" s="109" t="s">
        <v>7</v>
      </c>
      <c r="E127" s="110">
        <v>3</v>
      </c>
    </row>
    <row r="128" spans="1:5" s="80" customFormat="1" ht="15.75" x14ac:dyDescent="0.25">
      <c r="A128" s="104" t="s">
        <v>93</v>
      </c>
      <c r="B128" s="105" t="s">
        <v>345</v>
      </c>
      <c r="C128" s="105" t="s">
        <v>341</v>
      </c>
      <c r="D128" s="105"/>
      <c r="E128" s="106">
        <v>1230</v>
      </c>
    </row>
    <row r="129" spans="1:5" s="80" customFormat="1" ht="31.5" x14ac:dyDescent="0.25">
      <c r="A129" s="104" t="s">
        <v>94</v>
      </c>
      <c r="B129" s="105" t="s">
        <v>345</v>
      </c>
      <c r="C129" s="105" t="s">
        <v>342</v>
      </c>
      <c r="D129" s="105"/>
      <c r="E129" s="106">
        <v>30</v>
      </c>
    </row>
    <row r="130" spans="1:5" s="80" customFormat="1" ht="15.75" x14ac:dyDescent="0.25">
      <c r="A130" s="108" t="s">
        <v>33</v>
      </c>
      <c r="B130" s="109" t="s">
        <v>345</v>
      </c>
      <c r="C130" s="109" t="s">
        <v>342</v>
      </c>
      <c r="D130" s="109" t="s">
        <v>7</v>
      </c>
      <c r="E130" s="110">
        <v>30</v>
      </c>
    </row>
    <row r="131" spans="1:5" s="80" customFormat="1" ht="15.75" x14ac:dyDescent="0.25">
      <c r="A131" s="104" t="s">
        <v>95</v>
      </c>
      <c r="B131" s="105" t="s">
        <v>345</v>
      </c>
      <c r="C131" s="105" t="s">
        <v>403</v>
      </c>
      <c r="D131" s="105"/>
      <c r="E131" s="106">
        <v>300</v>
      </c>
    </row>
    <row r="132" spans="1:5" s="80" customFormat="1" ht="15.75" x14ac:dyDescent="0.25">
      <c r="A132" s="108" t="s">
        <v>46</v>
      </c>
      <c r="B132" s="109" t="s">
        <v>345</v>
      </c>
      <c r="C132" s="109" t="s">
        <v>403</v>
      </c>
      <c r="D132" s="109" t="s">
        <v>47</v>
      </c>
      <c r="E132" s="110">
        <v>300</v>
      </c>
    </row>
    <row r="133" spans="1:5" s="80" customFormat="1" ht="31.5" x14ac:dyDescent="0.25">
      <c r="A133" s="104" t="s">
        <v>96</v>
      </c>
      <c r="B133" s="105" t="s">
        <v>345</v>
      </c>
      <c r="C133" s="105" t="s">
        <v>404</v>
      </c>
      <c r="D133" s="105"/>
      <c r="E133" s="106">
        <v>900</v>
      </c>
    </row>
    <row r="134" spans="1:5" s="80" customFormat="1" ht="15.75" x14ac:dyDescent="0.25">
      <c r="A134" s="108" t="s">
        <v>46</v>
      </c>
      <c r="B134" s="109" t="s">
        <v>345</v>
      </c>
      <c r="C134" s="109" t="s">
        <v>404</v>
      </c>
      <c r="D134" s="109" t="s">
        <v>47</v>
      </c>
      <c r="E134" s="110">
        <v>900</v>
      </c>
    </row>
    <row r="135" spans="1:5" s="80" customFormat="1" ht="15.75" x14ac:dyDescent="0.25">
      <c r="A135" s="104" t="s">
        <v>97</v>
      </c>
      <c r="B135" s="105" t="s">
        <v>345</v>
      </c>
      <c r="C135" s="105" t="s">
        <v>405</v>
      </c>
      <c r="D135" s="105"/>
      <c r="E135" s="106">
        <v>32</v>
      </c>
    </row>
    <row r="136" spans="1:5" s="80" customFormat="1" ht="15.75" x14ac:dyDescent="0.25">
      <c r="A136" s="104" t="s">
        <v>98</v>
      </c>
      <c r="B136" s="105" t="s">
        <v>345</v>
      </c>
      <c r="C136" s="105" t="s">
        <v>500</v>
      </c>
      <c r="D136" s="105"/>
      <c r="E136" s="106">
        <v>1</v>
      </c>
    </row>
    <row r="137" spans="1:5" s="80" customFormat="1" ht="15.75" x14ac:dyDescent="0.25">
      <c r="A137" s="108" t="s">
        <v>46</v>
      </c>
      <c r="B137" s="109" t="s">
        <v>345</v>
      </c>
      <c r="C137" s="109" t="s">
        <v>500</v>
      </c>
      <c r="D137" s="124" t="s">
        <v>47</v>
      </c>
      <c r="E137" s="110">
        <v>1</v>
      </c>
    </row>
    <row r="138" spans="1:5" s="80" customFormat="1" ht="15.75" x14ac:dyDescent="0.25">
      <c r="A138" s="126" t="s">
        <v>99</v>
      </c>
      <c r="B138" s="105" t="s">
        <v>345</v>
      </c>
      <c r="C138" s="123" t="s">
        <v>499</v>
      </c>
      <c r="D138" s="105"/>
      <c r="E138" s="106">
        <v>31</v>
      </c>
    </row>
    <row r="139" spans="1:5" s="80" customFormat="1" ht="15.75" x14ac:dyDescent="0.25">
      <c r="A139" s="108" t="s">
        <v>46</v>
      </c>
      <c r="B139" s="109" t="s">
        <v>345</v>
      </c>
      <c r="C139" s="124" t="s">
        <v>499</v>
      </c>
      <c r="D139" s="124" t="s">
        <v>47</v>
      </c>
      <c r="E139" s="110">
        <v>31</v>
      </c>
    </row>
    <row r="140" spans="1:5" s="80" customFormat="1" ht="15.75" x14ac:dyDescent="0.25">
      <c r="A140" s="104" t="s">
        <v>100</v>
      </c>
      <c r="B140" s="105" t="s">
        <v>345</v>
      </c>
      <c r="C140" s="105" t="s">
        <v>406</v>
      </c>
      <c r="D140" s="105"/>
      <c r="E140" s="106">
        <f>E141</f>
        <v>600</v>
      </c>
    </row>
    <row r="141" spans="1:5" s="80" customFormat="1" ht="31.5" x14ac:dyDescent="0.25">
      <c r="A141" s="104" t="s">
        <v>101</v>
      </c>
      <c r="B141" s="105" t="s">
        <v>345</v>
      </c>
      <c r="C141" s="105" t="s">
        <v>407</v>
      </c>
      <c r="D141" s="105"/>
      <c r="E141" s="106">
        <f>630-30</f>
        <v>600</v>
      </c>
    </row>
    <row r="142" spans="1:5" s="80" customFormat="1" ht="31.5" x14ac:dyDescent="0.25">
      <c r="A142" s="104" t="s">
        <v>102</v>
      </c>
      <c r="B142" s="105" t="s">
        <v>345</v>
      </c>
      <c r="C142" s="105" t="s">
        <v>408</v>
      </c>
      <c r="D142" s="105"/>
      <c r="E142" s="106">
        <f>40-30</f>
        <v>10</v>
      </c>
    </row>
    <row r="143" spans="1:5" s="80" customFormat="1" ht="15.75" x14ac:dyDescent="0.25">
      <c r="A143" s="108" t="s">
        <v>71</v>
      </c>
      <c r="B143" s="109" t="s">
        <v>345</v>
      </c>
      <c r="C143" s="109" t="s">
        <v>408</v>
      </c>
      <c r="D143" s="109" t="s">
        <v>8</v>
      </c>
      <c r="E143" s="110">
        <f>40-30</f>
        <v>10</v>
      </c>
    </row>
    <row r="144" spans="1:5" s="80" customFormat="1" ht="15.75" x14ac:dyDescent="0.25">
      <c r="A144" s="104" t="s">
        <v>103</v>
      </c>
      <c r="B144" s="105" t="s">
        <v>345</v>
      </c>
      <c r="C144" s="105" t="s">
        <v>409</v>
      </c>
      <c r="D144" s="105"/>
      <c r="E144" s="106">
        <v>50</v>
      </c>
    </row>
    <row r="145" spans="1:5" s="80" customFormat="1" ht="15.75" x14ac:dyDescent="0.25">
      <c r="A145" s="108" t="s">
        <v>33</v>
      </c>
      <c r="B145" s="109" t="s">
        <v>345</v>
      </c>
      <c r="C145" s="109" t="s">
        <v>409</v>
      </c>
      <c r="D145" s="109" t="s">
        <v>7</v>
      </c>
      <c r="E145" s="110">
        <v>50</v>
      </c>
    </row>
    <row r="146" spans="1:5" s="80" customFormat="1" ht="15.75" x14ac:dyDescent="0.25">
      <c r="A146" s="104" t="s">
        <v>104</v>
      </c>
      <c r="B146" s="105" t="s">
        <v>345</v>
      </c>
      <c r="C146" s="105" t="s">
        <v>410</v>
      </c>
      <c r="D146" s="105"/>
      <c r="E146" s="106">
        <v>470</v>
      </c>
    </row>
    <row r="147" spans="1:5" s="80" customFormat="1" ht="31.5" x14ac:dyDescent="0.25">
      <c r="A147" s="108" t="s">
        <v>105</v>
      </c>
      <c r="B147" s="109" t="s">
        <v>345</v>
      </c>
      <c r="C147" s="109" t="s">
        <v>410</v>
      </c>
      <c r="D147" s="109" t="s">
        <v>106</v>
      </c>
      <c r="E147" s="110">
        <v>470</v>
      </c>
    </row>
    <row r="148" spans="1:5" s="80" customFormat="1" ht="15.75" x14ac:dyDescent="0.25">
      <c r="A148" s="104" t="s">
        <v>107</v>
      </c>
      <c r="B148" s="105" t="s">
        <v>345</v>
      </c>
      <c r="C148" s="105" t="s">
        <v>411</v>
      </c>
      <c r="D148" s="105"/>
      <c r="E148" s="106">
        <v>70</v>
      </c>
    </row>
    <row r="149" spans="1:5" s="80" customFormat="1" ht="31.5" x14ac:dyDescent="0.25">
      <c r="A149" s="108" t="s">
        <v>105</v>
      </c>
      <c r="B149" s="109" t="s">
        <v>345</v>
      </c>
      <c r="C149" s="109" t="s">
        <v>411</v>
      </c>
      <c r="D149" s="124" t="s">
        <v>106</v>
      </c>
      <c r="E149" s="110">
        <v>70</v>
      </c>
    </row>
    <row r="150" spans="1:5" s="80" customFormat="1" ht="15.75" x14ac:dyDescent="0.25">
      <c r="A150" s="104" t="s">
        <v>23</v>
      </c>
      <c r="B150" s="105" t="s">
        <v>345</v>
      </c>
      <c r="C150" s="105" t="s">
        <v>24</v>
      </c>
      <c r="D150" s="105"/>
      <c r="E150" s="106">
        <f>E151</f>
        <v>28280.727849999999</v>
      </c>
    </row>
    <row r="151" spans="1:5" s="80" customFormat="1" ht="15.75" x14ac:dyDescent="0.25">
      <c r="A151" s="104" t="s">
        <v>25</v>
      </c>
      <c r="B151" s="105" t="s">
        <v>345</v>
      </c>
      <c r="C151" s="105" t="s">
        <v>26</v>
      </c>
      <c r="D151" s="105"/>
      <c r="E151" s="106">
        <f>E152+E155+E157+E159+E161+E164+E167+E170+E173+E175</f>
        <v>28280.727849999999</v>
      </c>
    </row>
    <row r="152" spans="1:5" s="80" customFormat="1" ht="31.5" x14ac:dyDescent="0.25">
      <c r="A152" s="104" t="s">
        <v>108</v>
      </c>
      <c r="B152" s="105" t="s">
        <v>345</v>
      </c>
      <c r="C152" s="105" t="s">
        <v>412</v>
      </c>
      <c r="D152" s="105"/>
      <c r="E152" s="106">
        <f>E153+E154</f>
        <v>3232.15</v>
      </c>
    </row>
    <row r="153" spans="1:5" s="80" customFormat="1" ht="47.25" x14ac:dyDescent="0.25">
      <c r="A153" s="108" t="s">
        <v>29</v>
      </c>
      <c r="B153" s="109" t="s">
        <v>345</v>
      </c>
      <c r="C153" s="109" t="s">
        <v>412</v>
      </c>
      <c r="D153" s="109" t="s">
        <v>30</v>
      </c>
      <c r="E153" s="110">
        <f>56.462+856.217+2315.171+4.3</f>
        <v>3232.15</v>
      </c>
    </row>
    <row r="154" spans="1:5" s="80" customFormat="1" ht="15.75" x14ac:dyDescent="0.25">
      <c r="A154" s="108" t="s">
        <v>33</v>
      </c>
      <c r="B154" s="109" t="s">
        <v>345</v>
      </c>
      <c r="C154" s="109" t="s">
        <v>412</v>
      </c>
      <c r="D154" s="109" t="s">
        <v>7</v>
      </c>
      <c r="E154" s="110">
        <v>0</v>
      </c>
    </row>
    <row r="155" spans="1:5" s="80" customFormat="1" ht="15.75" x14ac:dyDescent="0.25">
      <c r="A155" s="104" t="s">
        <v>109</v>
      </c>
      <c r="B155" s="105" t="s">
        <v>345</v>
      </c>
      <c r="C155" s="105" t="s">
        <v>413</v>
      </c>
      <c r="D155" s="105"/>
      <c r="E155" s="106">
        <f>E156</f>
        <v>1578.13185</v>
      </c>
    </row>
    <row r="156" spans="1:5" s="80" customFormat="1" ht="15.75" x14ac:dyDescent="0.25">
      <c r="A156" s="108" t="s">
        <v>43</v>
      </c>
      <c r="B156" s="109" t="s">
        <v>345</v>
      </c>
      <c r="C156" s="109" t="s">
        <v>413</v>
      </c>
      <c r="D156" s="109" t="s">
        <v>44</v>
      </c>
      <c r="E156" s="110">
        <f>-0.04115+1578.173</f>
        <v>1578.13185</v>
      </c>
    </row>
    <row r="157" spans="1:5" s="80" customFormat="1" ht="31.5" x14ac:dyDescent="0.25">
      <c r="A157" s="104" t="s">
        <v>110</v>
      </c>
      <c r="B157" s="105" t="s">
        <v>345</v>
      </c>
      <c r="C157" s="105" t="s">
        <v>414</v>
      </c>
      <c r="D157" s="105"/>
      <c r="E157" s="106">
        <v>12.3</v>
      </c>
    </row>
    <row r="158" spans="1:5" s="80" customFormat="1" ht="15.75" x14ac:dyDescent="0.25">
      <c r="A158" s="108" t="s">
        <v>33</v>
      </c>
      <c r="B158" s="109" t="s">
        <v>345</v>
      </c>
      <c r="C158" s="109" t="s">
        <v>414</v>
      </c>
      <c r="D158" s="109" t="s">
        <v>7</v>
      </c>
      <c r="E158" s="110">
        <v>12.3</v>
      </c>
    </row>
    <row r="159" spans="1:5" s="80" customFormat="1" ht="31.5" x14ac:dyDescent="0.25">
      <c r="A159" s="104" t="s">
        <v>31</v>
      </c>
      <c r="B159" s="105" t="s">
        <v>345</v>
      </c>
      <c r="C159" s="105" t="s">
        <v>32</v>
      </c>
      <c r="D159" s="105"/>
      <c r="E159" s="106">
        <v>1.633</v>
      </c>
    </row>
    <row r="160" spans="1:5" s="80" customFormat="1" ht="15.75" x14ac:dyDescent="0.25">
      <c r="A160" s="108" t="s">
        <v>33</v>
      </c>
      <c r="B160" s="109" t="s">
        <v>345</v>
      </c>
      <c r="C160" s="109" t="s">
        <v>32</v>
      </c>
      <c r="D160" s="109" t="s">
        <v>7</v>
      </c>
      <c r="E160" s="110">
        <v>1.633</v>
      </c>
    </row>
    <row r="161" spans="1:5" s="80" customFormat="1" ht="63" x14ac:dyDescent="0.25">
      <c r="A161" s="104" t="s">
        <v>415</v>
      </c>
      <c r="B161" s="105" t="s">
        <v>345</v>
      </c>
      <c r="C161" s="105" t="s">
        <v>416</v>
      </c>
      <c r="D161" s="105"/>
      <c r="E161" s="106">
        <f>E162+E163</f>
        <v>12.200000000000001</v>
      </c>
    </row>
    <row r="162" spans="1:5" s="80" customFormat="1" ht="47.25" x14ac:dyDescent="0.25">
      <c r="A162" s="108" t="s">
        <v>29</v>
      </c>
      <c r="B162" s="109" t="s">
        <v>345</v>
      </c>
      <c r="C162" s="109" t="s">
        <v>416</v>
      </c>
      <c r="D162" s="124" t="s">
        <v>30</v>
      </c>
      <c r="E162" s="106">
        <v>11.9</v>
      </c>
    </row>
    <row r="163" spans="1:5" s="80" customFormat="1" ht="15.75" x14ac:dyDescent="0.25">
      <c r="A163" s="108" t="s">
        <v>33</v>
      </c>
      <c r="B163" s="109" t="s">
        <v>345</v>
      </c>
      <c r="C163" s="109" t="s">
        <v>416</v>
      </c>
      <c r="D163" s="109" t="s">
        <v>7</v>
      </c>
      <c r="E163" s="110">
        <f>11.4-11.1</f>
        <v>0.30000000000000071</v>
      </c>
    </row>
    <row r="164" spans="1:5" s="80" customFormat="1" ht="63" x14ac:dyDescent="0.25">
      <c r="A164" s="104" t="s">
        <v>417</v>
      </c>
      <c r="B164" s="105" t="s">
        <v>345</v>
      </c>
      <c r="C164" s="105" t="s">
        <v>418</v>
      </c>
      <c r="D164" s="105"/>
      <c r="E164" s="106">
        <f>E165+E166</f>
        <v>64.546000000000006</v>
      </c>
    </row>
    <row r="165" spans="1:5" s="80" customFormat="1" ht="47.25" x14ac:dyDescent="0.25">
      <c r="A165" s="108" t="s">
        <v>29</v>
      </c>
      <c r="B165" s="109" t="s">
        <v>345</v>
      </c>
      <c r="C165" s="109" t="s">
        <v>418</v>
      </c>
      <c r="D165" s="109" t="s">
        <v>30</v>
      </c>
      <c r="E165" s="110">
        <f>55.34+3.662</f>
        <v>59.002000000000002</v>
      </c>
    </row>
    <row r="166" spans="1:5" s="80" customFormat="1" ht="15.75" x14ac:dyDescent="0.25">
      <c r="A166" s="108" t="s">
        <v>33</v>
      </c>
      <c r="B166" s="109" t="s">
        <v>345</v>
      </c>
      <c r="C166" s="109" t="s">
        <v>418</v>
      </c>
      <c r="D166" s="109" t="s">
        <v>7</v>
      </c>
      <c r="E166" s="110">
        <f>0.046+5.498</f>
        <v>5.5440000000000005</v>
      </c>
    </row>
    <row r="167" spans="1:5" s="80" customFormat="1" ht="110.25" x14ac:dyDescent="0.25">
      <c r="A167" s="107" t="s">
        <v>419</v>
      </c>
      <c r="B167" s="105" t="s">
        <v>345</v>
      </c>
      <c r="C167" s="105" t="s">
        <v>420</v>
      </c>
      <c r="D167" s="105"/>
      <c r="E167" s="106">
        <f>E168+E169</f>
        <v>170.35899999999998</v>
      </c>
    </row>
    <row r="168" spans="1:5" s="80" customFormat="1" ht="47.25" x14ac:dyDescent="0.25">
      <c r="A168" s="108" t="s">
        <v>29</v>
      </c>
      <c r="B168" s="109" t="s">
        <v>345</v>
      </c>
      <c r="C168" s="109" t="s">
        <v>420</v>
      </c>
      <c r="D168" s="109" t="s">
        <v>30</v>
      </c>
      <c r="E168" s="110">
        <v>162.64599999999999</v>
      </c>
    </row>
    <row r="169" spans="1:5" s="80" customFormat="1" ht="15.75" x14ac:dyDescent="0.25">
      <c r="A169" s="108" t="s">
        <v>33</v>
      </c>
      <c r="B169" s="109" t="s">
        <v>345</v>
      </c>
      <c r="C169" s="109" t="s">
        <v>420</v>
      </c>
      <c r="D169" s="109" t="s">
        <v>7</v>
      </c>
      <c r="E169" s="110">
        <f>-0.041+7.754</f>
        <v>7.7129999999999992</v>
      </c>
    </row>
    <row r="170" spans="1:5" s="80" customFormat="1" ht="78.75" x14ac:dyDescent="0.25">
      <c r="A170" s="107" t="s">
        <v>111</v>
      </c>
      <c r="B170" s="105" t="s">
        <v>345</v>
      </c>
      <c r="C170" s="105" t="s">
        <v>112</v>
      </c>
      <c r="D170" s="105"/>
      <c r="E170" s="106">
        <f>E172+E171</f>
        <v>4.2</v>
      </c>
    </row>
    <row r="171" spans="1:5" s="80" customFormat="1" ht="47.25" x14ac:dyDescent="0.25">
      <c r="A171" s="108" t="s">
        <v>29</v>
      </c>
      <c r="B171" s="109" t="s">
        <v>345</v>
      </c>
      <c r="C171" s="109" t="s">
        <v>112</v>
      </c>
      <c r="D171" s="61" t="s">
        <v>30</v>
      </c>
      <c r="E171" s="106">
        <v>3.9060000000000001</v>
      </c>
    </row>
    <row r="172" spans="1:5" s="80" customFormat="1" ht="15.75" x14ac:dyDescent="0.25">
      <c r="A172" s="108" t="s">
        <v>33</v>
      </c>
      <c r="B172" s="109" t="s">
        <v>345</v>
      </c>
      <c r="C172" s="109" t="s">
        <v>112</v>
      </c>
      <c r="D172" s="109" t="s">
        <v>7</v>
      </c>
      <c r="E172" s="110">
        <f>-3.906+4.2</f>
        <v>0.29400000000000004</v>
      </c>
    </row>
    <row r="173" spans="1:5" s="80" customFormat="1" ht="31.5" x14ac:dyDescent="0.25">
      <c r="A173" s="104" t="s">
        <v>113</v>
      </c>
      <c r="B173" s="105" t="s">
        <v>345</v>
      </c>
      <c r="C173" s="105" t="s">
        <v>421</v>
      </c>
      <c r="D173" s="105"/>
      <c r="E173" s="106">
        <v>1500</v>
      </c>
    </row>
    <row r="174" spans="1:5" s="80" customFormat="1" ht="15.75" x14ac:dyDescent="0.25">
      <c r="A174" s="108" t="s">
        <v>43</v>
      </c>
      <c r="B174" s="109" t="s">
        <v>345</v>
      </c>
      <c r="C174" s="109" t="s">
        <v>421</v>
      </c>
      <c r="D174" s="109" t="s">
        <v>44</v>
      </c>
      <c r="E174" s="110">
        <v>1500</v>
      </c>
    </row>
    <row r="175" spans="1:5" s="80" customFormat="1" ht="15.75" x14ac:dyDescent="0.25">
      <c r="A175" s="104" t="s">
        <v>38</v>
      </c>
      <c r="B175" s="105" t="s">
        <v>345</v>
      </c>
      <c r="C175" s="105" t="s">
        <v>39</v>
      </c>
      <c r="D175" s="105"/>
      <c r="E175" s="106">
        <f>E176+E177+E178</f>
        <v>21705.207999999999</v>
      </c>
    </row>
    <row r="176" spans="1:5" s="80" customFormat="1" ht="15.75" x14ac:dyDescent="0.25">
      <c r="A176" s="108" t="s">
        <v>33</v>
      </c>
      <c r="B176" s="109" t="s">
        <v>345</v>
      </c>
      <c r="C176" s="109" t="s">
        <v>39</v>
      </c>
      <c r="D176" s="109" t="s">
        <v>7</v>
      </c>
      <c r="E176" s="110">
        <v>620</v>
      </c>
    </row>
    <row r="177" spans="1:5" s="80" customFormat="1" ht="15.75" x14ac:dyDescent="0.25">
      <c r="A177" s="108" t="s">
        <v>71</v>
      </c>
      <c r="B177" s="109" t="s">
        <v>345</v>
      </c>
      <c r="C177" s="109" t="s">
        <v>39</v>
      </c>
      <c r="D177" s="109" t="s">
        <v>8</v>
      </c>
      <c r="E177" s="110">
        <v>5044.95</v>
      </c>
    </row>
    <row r="178" spans="1:5" s="80" customFormat="1" ht="15.75" x14ac:dyDescent="0.25">
      <c r="A178" s="108" t="s">
        <v>43</v>
      </c>
      <c r="B178" s="109" t="s">
        <v>345</v>
      </c>
      <c r="C178" s="109" t="s">
        <v>39</v>
      </c>
      <c r="D178" s="109" t="s">
        <v>44</v>
      </c>
      <c r="E178" s="110">
        <v>16040.258</v>
      </c>
    </row>
    <row r="179" spans="1:5" ht="31.5" x14ac:dyDescent="0.25">
      <c r="A179" s="82" t="s">
        <v>295</v>
      </c>
      <c r="B179" s="70" t="s">
        <v>296</v>
      </c>
      <c r="C179" s="70"/>
      <c r="D179" s="70"/>
      <c r="E179" s="63">
        <f>E184+E248+E262+E180-0.001</f>
        <v>120343.56474</v>
      </c>
    </row>
    <row r="180" spans="1:5" ht="15.75" x14ac:dyDescent="0.25">
      <c r="A180" s="104" t="s">
        <v>40</v>
      </c>
      <c r="B180" s="105" t="s">
        <v>296</v>
      </c>
      <c r="C180" s="105" t="s">
        <v>346</v>
      </c>
      <c r="D180" s="122"/>
      <c r="E180" s="59">
        <f>E181</f>
        <v>20.60557</v>
      </c>
    </row>
    <row r="181" spans="1:5" ht="33.75" customHeight="1" x14ac:dyDescent="0.25">
      <c r="A181" s="104" t="s">
        <v>491</v>
      </c>
      <c r="B181" s="105" t="s">
        <v>296</v>
      </c>
      <c r="C181" s="105" t="s">
        <v>490</v>
      </c>
      <c r="D181" s="122"/>
      <c r="E181" s="59">
        <f>E182</f>
        <v>20.60557</v>
      </c>
    </row>
    <row r="182" spans="1:5" ht="31.5" x14ac:dyDescent="0.25">
      <c r="A182" s="57" t="s">
        <v>492</v>
      </c>
      <c r="B182" s="58" t="s">
        <v>296</v>
      </c>
      <c r="C182" s="123" t="s">
        <v>493</v>
      </c>
      <c r="D182" s="122"/>
      <c r="E182" s="59">
        <f>E183</f>
        <v>20.60557</v>
      </c>
    </row>
    <row r="183" spans="1:5" ht="15.75" x14ac:dyDescent="0.25">
      <c r="A183" s="108" t="s">
        <v>33</v>
      </c>
      <c r="B183" s="61" t="s">
        <v>296</v>
      </c>
      <c r="C183" s="124" t="s">
        <v>493</v>
      </c>
      <c r="D183" s="61" t="s">
        <v>7</v>
      </c>
      <c r="E183" s="62">
        <v>20.60557</v>
      </c>
    </row>
    <row r="184" spans="1:5" ht="15.75" x14ac:dyDescent="0.25">
      <c r="A184" s="57" t="s">
        <v>114</v>
      </c>
      <c r="B184" s="58" t="s">
        <v>296</v>
      </c>
      <c r="C184" s="58" t="s">
        <v>297</v>
      </c>
      <c r="D184" s="58"/>
      <c r="E184" s="59">
        <f>E185+E190+E203+E210+E229+E239+E234</f>
        <v>112140.33917000001</v>
      </c>
    </row>
    <row r="185" spans="1:5" ht="15.75" x14ac:dyDescent="0.25">
      <c r="A185" s="57" t="s">
        <v>115</v>
      </c>
      <c r="B185" s="58" t="s">
        <v>296</v>
      </c>
      <c r="C185" s="58" t="s">
        <v>298</v>
      </c>
      <c r="D185" s="58"/>
      <c r="E185" s="59">
        <f>E186+E188</f>
        <v>14657.2</v>
      </c>
    </row>
    <row r="186" spans="1:5" ht="15.75" x14ac:dyDescent="0.25">
      <c r="A186" s="57" t="s">
        <v>116</v>
      </c>
      <c r="B186" s="58" t="s">
        <v>296</v>
      </c>
      <c r="C186" s="58" t="s">
        <v>299</v>
      </c>
      <c r="D186" s="58"/>
      <c r="E186" s="59">
        <f>E187</f>
        <v>12705.156000000001</v>
      </c>
    </row>
    <row r="187" spans="1:5" ht="31.5" x14ac:dyDescent="0.25">
      <c r="A187" s="60" t="s">
        <v>105</v>
      </c>
      <c r="B187" s="61" t="s">
        <v>296</v>
      </c>
      <c r="C187" s="61" t="s">
        <v>299</v>
      </c>
      <c r="D187" s="61" t="s">
        <v>106</v>
      </c>
      <c r="E187" s="62">
        <v>12705.156000000001</v>
      </c>
    </row>
    <row r="188" spans="1:5" ht="31.5" x14ac:dyDescent="0.25">
      <c r="A188" s="57" t="s">
        <v>117</v>
      </c>
      <c r="B188" s="58" t="s">
        <v>296</v>
      </c>
      <c r="C188" s="58" t="s">
        <v>300</v>
      </c>
      <c r="D188" s="58"/>
      <c r="E188" s="59">
        <v>1952.0440000000001</v>
      </c>
    </row>
    <row r="189" spans="1:5" ht="31.5" x14ac:dyDescent="0.25">
      <c r="A189" s="60" t="s">
        <v>105</v>
      </c>
      <c r="B189" s="61" t="s">
        <v>296</v>
      </c>
      <c r="C189" s="61" t="s">
        <v>300</v>
      </c>
      <c r="D189" s="61" t="s">
        <v>106</v>
      </c>
      <c r="E189" s="62">
        <v>1952.0440000000001</v>
      </c>
    </row>
    <row r="190" spans="1:5" ht="15.75" x14ac:dyDescent="0.25">
      <c r="A190" s="57" t="s">
        <v>118</v>
      </c>
      <c r="B190" s="58" t="s">
        <v>296</v>
      </c>
      <c r="C190" s="58" t="s">
        <v>301</v>
      </c>
      <c r="D190" s="58"/>
      <c r="E190" s="59">
        <f>E191+E193+E195+E197+E199+E201</f>
        <v>19496.01686</v>
      </c>
    </row>
    <row r="191" spans="1:5" ht="15.75" x14ac:dyDescent="0.25">
      <c r="A191" s="57" t="s">
        <v>119</v>
      </c>
      <c r="B191" s="58" t="s">
        <v>296</v>
      </c>
      <c r="C191" s="58" t="s">
        <v>302</v>
      </c>
      <c r="D191" s="58"/>
      <c r="E191" s="59">
        <v>281.09500000000003</v>
      </c>
    </row>
    <row r="192" spans="1:5" ht="31.5" x14ac:dyDescent="0.25">
      <c r="A192" s="60" t="s">
        <v>105</v>
      </c>
      <c r="B192" s="61" t="s">
        <v>296</v>
      </c>
      <c r="C192" s="61" t="s">
        <v>302</v>
      </c>
      <c r="D192" s="61" t="s">
        <v>106</v>
      </c>
      <c r="E192" s="62">
        <v>281.09500000000003</v>
      </c>
    </row>
    <row r="193" spans="1:5" ht="15.75" x14ac:dyDescent="0.25">
      <c r="A193" s="57" t="s">
        <v>120</v>
      </c>
      <c r="B193" s="58" t="s">
        <v>296</v>
      </c>
      <c r="C193" s="58" t="s">
        <v>303</v>
      </c>
      <c r="D193" s="58"/>
      <c r="E193" s="59">
        <f>E194</f>
        <v>80</v>
      </c>
    </row>
    <row r="194" spans="1:5" ht="31.5" x14ac:dyDescent="0.25">
      <c r="A194" s="60" t="s">
        <v>105</v>
      </c>
      <c r="B194" s="61" t="s">
        <v>296</v>
      </c>
      <c r="C194" s="61" t="s">
        <v>303</v>
      </c>
      <c r="D194" s="61" t="s">
        <v>106</v>
      </c>
      <c r="E194" s="62">
        <f>72.58+7.42</f>
        <v>80</v>
      </c>
    </row>
    <row r="195" spans="1:5" ht="31.5" x14ac:dyDescent="0.25">
      <c r="A195" s="57" t="s">
        <v>121</v>
      </c>
      <c r="B195" s="58" t="s">
        <v>296</v>
      </c>
      <c r="C195" s="58" t="s">
        <v>304</v>
      </c>
      <c r="D195" s="58"/>
      <c r="E195" s="59">
        <v>5</v>
      </c>
    </row>
    <row r="196" spans="1:5" ht="31.5" x14ac:dyDescent="0.25">
      <c r="A196" s="60" t="s">
        <v>105</v>
      </c>
      <c r="B196" s="61" t="s">
        <v>296</v>
      </c>
      <c r="C196" s="61" t="s">
        <v>304</v>
      </c>
      <c r="D196" s="61" t="s">
        <v>106</v>
      </c>
      <c r="E196" s="62">
        <v>5</v>
      </c>
    </row>
    <row r="197" spans="1:5" ht="15.75" x14ac:dyDescent="0.25">
      <c r="A197" s="57" t="s">
        <v>122</v>
      </c>
      <c r="B197" s="58" t="s">
        <v>296</v>
      </c>
      <c r="C197" s="58" t="s">
        <v>305</v>
      </c>
      <c r="D197" s="58"/>
      <c r="E197" s="59">
        <f>E198</f>
        <v>12743.52586</v>
      </c>
    </row>
    <row r="198" spans="1:5" ht="31.5" x14ac:dyDescent="0.25">
      <c r="A198" s="60" t="s">
        <v>105</v>
      </c>
      <c r="B198" s="61" t="s">
        <v>296</v>
      </c>
      <c r="C198" s="61" t="s">
        <v>305</v>
      </c>
      <c r="D198" s="61" t="s">
        <v>106</v>
      </c>
      <c r="E198" s="62">
        <f>12320.697+92+330.82886</f>
        <v>12743.52586</v>
      </c>
    </row>
    <row r="199" spans="1:5" ht="31.5" x14ac:dyDescent="0.25">
      <c r="A199" s="57" t="s">
        <v>123</v>
      </c>
      <c r="B199" s="58" t="s">
        <v>296</v>
      </c>
      <c r="C199" s="58" t="s">
        <v>306</v>
      </c>
      <c r="D199" s="58"/>
      <c r="E199" s="59">
        <v>6381.4059999999999</v>
      </c>
    </row>
    <row r="200" spans="1:5" ht="31.5" x14ac:dyDescent="0.25">
      <c r="A200" s="60" t="s">
        <v>105</v>
      </c>
      <c r="B200" s="61" t="s">
        <v>296</v>
      </c>
      <c r="C200" s="61" t="s">
        <v>306</v>
      </c>
      <c r="D200" s="61" t="s">
        <v>106</v>
      </c>
      <c r="E200" s="62">
        <v>6381.4059999999999</v>
      </c>
    </row>
    <row r="201" spans="1:5" ht="31.5" x14ac:dyDescent="0.25">
      <c r="A201" s="57" t="s">
        <v>124</v>
      </c>
      <c r="B201" s="58" t="s">
        <v>296</v>
      </c>
      <c r="C201" s="58" t="s">
        <v>307</v>
      </c>
      <c r="D201" s="58"/>
      <c r="E201" s="59">
        <v>4.99</v>
      </c>
    </row>
    <row r="202" spans="1:5" ht="31.5" x14ac:dyDescent="0.25">
      <c r="A202" s="60" t="s">
        <v>105</v>
      </c>
      <c r="B202" s="61" t="s">
        <v>296</v>
      </c>
      <c r="C202" s="61" t="s">
        <v>307</v>
      </c>
      <c r="D202" s="61" t="s">
        <v>106</v>
      </c>
      <c r="E202" s="62">
        <v>4.99</v>
      </c>
    </row>
    <row r="203" spans="1:5" ht="15.75" x14ac:dyDescent="0.25">
      <c r="A203" s="57" t="s">
        <v>125</v>
      </c>
      <c r="B203" s="58" t="s">
        <v>296</v>
      </c>
      <c r="C203" s="58" t="s">
        <v>308</v>
      </c>
      <c r="D203" s="58"/>
      <c r="E203" s="59">
        <f>E204+E206+E208</f>
        <v>3252.6697300000001</v>
      </c>
    </row>
    <row r="204" spans="1:5" ht="15.75" x14ac:dyDescent="0.25">
      <c r="A204" s="57" t="s">
        <v>122</v>
      </c>
      <c r="B204" s="58" t="s">
        <v>296</v>
      </c>
      <c r="C204" s="58" t="s">
        <v>309</v>
      </c>
      <c r="D204" s="58"/>
      <c r="E204" s="59">
        <f>E205</f>
        <v>1814.2837300000001</v>
      </c>
    </row>
    <row r="205" spans="1:5" ht="31.5" x14ac:dyDescent="0.25">
      <c r="A205" s="60" t="s">
        <v>105</v>
      </c>
      <c r="B205" s="61" t="s">
        <v>296</v>
      </c>
      <c r="C205" s="61" t="s">
        <v>309</v>
      </c>
      <c r="D205" s="61" t="s">
        <v>106</v>
      </c>
      <c r="E205" s="62">
        <f>1354.299+25+434.98473</f>
        <v>1814.2837300000001</v>
      </c>
    </row>
    <row r="206" spans="1:5" ht="31.5" x14ac:dyDescent="0.25">
      <c r="A206" s="57" t="s">
        <v>123</v>
      </c>
      <c r="B206" s="58" t="s">
        <v>296</v>
      </c>
      <c r="C206" s="58" t="s">
        <v>310</v>
      </c>
      <c r="D206" s="58"/>
      <c r="E206" s="59">
        <v>1438.078</v>
      </c>
    </row>
    <row r="207" spans="1:5" ht="31.5" x14ac:dyDescent="0.25">
      <c r="A207" s="60" t="s">
        <v>105</v>
      </c>
      <c r="B207" s="61" t="s">
        <v>296</v>
      </c>
      <c r="C207" s="61" t="s">
        <v>310</v>
      </c>
      <c r="D207" s="61" t="s">
        <v>106</v>
      </c>
      <c r="E207" s="62">
        <v>1438.078</v>
      </c>
    </row>
    <row r="208" spans="1:5" ht="31.5" x14ac:dyDescent="0.25">
      <c r="A208" s="57" t="s">
        <v>124</v>
      </c>
      <c r="B208" s="58" t="s">
        <v>296</v>
      </c>
      <c r="C208" s="58" t="s">
        <v>311</v>
      </c>
      <c r="D208" s="58"/>
      <c r="E208" s="59">
        <v>0.308</v>
      </c>
    </row>
    <row r="209" spans="1:5" ht="31.5" x14ac:dyDescent="0.25">
      <c r="A209" s="60" t="s">
        <v>105</v>
      </c>
      <c r="B209" s="61" t="s">
        <v>296</v>
      </c>
      <c r="C209" s="61" t="s">
        <v>311</v>
      </c>
      <c r="D209" s="61" t="s">
        <v>106</v>
      </c>
      <c r="E209" s="62">
        <v>0.308</v>
      </c>
    </row>
    <row r="210" spans="1:5" ht="31.5" x14ac:dyDescent="0.25">
      <c r="A210" s="57" t="s">
        <v>126</v>
      </c>
      <c r="B210" s="58" t="s">
        <v>296</v>
      </c>
      <c r="C210" s="58" t="s">
        <v>312</v>
      </c>
      <c r="D210" s="58"/>
      <c r="E210" s="59">
        <f>E211+E213+E215+E217+E219+E221+E223+E225+E227</f>
        <v>37737.499479999999</v>
      </c>
    </row>
    <row r="211" spans="1:5" ht="31.5" x14ac:dyDescent="0.25">
      <c r="A211" s="57" t="s">
        <v>124</v>
      </c>
      <c r="B211" s="58" t="s">
        <v>296</v>
      </c>
      <c r="C211" s="58" t="s">
        <v>313</v>
      </c>
      <c r="D211" s="58"/>
      <c r="E211" s="59">
        <v>31.826000000000001</v>
      </c>
    </row>
    <row r="212" spans="1:5" ht="31.5" x14ac:dyDescent="0.25">
      <c r="A212" s="60" t="s">
        <v>105</v>
      </c>
      <c r="B212" s="61" t="s">
        <v>296</v>
      </c>
      <c r="C212" s="61" t="s">
        <v>313</v>
      </c>
      <c r="D212" s="61" t="s">
        <v>106</v>
      </c>
      <c r="E212" s="62">
        <v>31.826000000000001</v>
      </c>
    </row>
    <row r="213" spans="1:5" ht="15.75" x14ac:dyDescent="0.25">
      <c r="A213" s="57" t="s">
        <v>127</v>
      </c>
      <c r="B213" s="58" t="s">
        <v>296</v>
      </c>
      <c r="C213" s="58" t="s">
        <v>314</v>
      </c>
      <c r="D213" s="58"/>
      <c r="E213" s="59">
        <f>E214</f>
        <v>21155.302480000002</v>
      </c>
    </row>
    <row r="214" spans="1:5" ht="31.5" x14ac:dyDescent="0.25">
      <c r="A214" s="60" t="s">
        <v>105</v>
      </c>
      <c r="B214" s="61" t="s">
        <v>296</v>
      </c>
      <c r="C214" s="61" t="s">
        <v>314</v>
      </c>
      <c r="D214" s="61" t="s">
        <v>106</v>
      </c>
      <c r="E214" s="62">
        <f>20199.828+870+85.47448</f>
        <v>21155.302480000002</v>
      </c>
    </row>
    <row r="215" spans="1:5" ht="31.5" x14ac:dyDescent="0.25">
      <c r="A215" s="57" t="s">
        <v>123</v>
      </c>
      <c r="B215" s="58" t="s">
        <v>296</v>
      </c>
      <c r="C215" s="58" t="s">
        <v>315</v>
      </c>
      <c r="D215" s="58"/>
      <c r="E215" s="59">
        <v>7030.6030000000001</v>
      </c>
    </row>
    <row r="216" spans="1:5" ht="31.5" x14ac:dyDescent="0.25">
      <c r="A216" s="60" t="s">
        <v>105</v>
      </c>
      <c r="B216" s="61" t="s">
        <v>296</v>
      </c>
      <c r="C216" s="61" t="s">
        <v>315</v>
      </c>
      <c r="D216" s="61" t="s">
        <v>106</v>
      </c>
      <c r="E216" s="62">
        <v>7030.6030000000001</v>
      </c>
    </row>
    <row r="217" spans="1:5" ht="15.75" x14ac:dyDescent="0.25">
      <c r="A217" s="57" t="s">
        <v>128</v>
      </c>
      <c r="B217" s="58" t="s">
        <v>296</v>
      </c>
      <c r="C217" s="58" t="s">
        <v>316</v>
      </c>
      <c r="D217" s="58"/>
      <c r="E217" s="59">
        <f>E218</f>
        <v>1280</v>
      </c>
    </row>
    <row r="218" spans="1:5" ht="31.5" x14ac:dyDescent="0.25">
      <c r="A218" s="60" t="s">
        <v>105</v>
      </c>
      <c r="B218" s="61" t="s">
        <v>296</v>
      </c>
      <c r="C218" s="61" t="s">
        <v>316</v>
      </c>
      <c r="D218" s="61" t="s">
        <v>106</v>
      </c>
      <c r="E218" s="62">
        <f>550+730</f>
        <v>1280</v>
      </c>
    </row>
    <row r="219" spans="1:5" ht="47.25" x14ac:dyDescent="0.25">
      <c r="A219" s="57" t="s">
        <v>317</v>
      </c>
      <c r="B219" s="58" t="s">
        <v>296</v>
      </c>
      <c r="C219" s="58" t="s">
        <v>318</v>
      </c>
      <c r="D219" s="58"/>
      <c r="E219" s="59">
        <v>1165.4369999999999</v>
      </c>
    </row>
    <row r="220" spans="1:5" ht="31.5" x14ac:dyDescent="0.25">
      <c r="A220" s="60" t="s">
        <v>105</v>
      </c>
      <c r="B220" s="61" t="s">
        <v>296</v>
      </c>
      <c r="C220" s="61" t="s">
        <v>318</v>
      </c>
      <c r="D220" s="61" t="s">
        <v>106</v>
      </c>
      <c r="E220" s="62">
        <v>1165.4369999999999</v>
      </c>
    </row>
    <row r="221" spans="1:5" ht="15.75" x14ac:dyDescent="0.25">
      <c r="A221" s="57" t="s">
        <v>480</v>
      </c>
      <c r="B221" s="61" t="s">
        <v>296</v>
      </c>
      <c r="C221" s="61" t="s">
        <v>479</v>
      </c>
      <c r="D221" s="61"/>
      <c r="E221" s="59">
        <f>E222</f>
        <v>0</v>
      </c>
    </row>
    <row r="222" spans="1:5" ht="31.5" x14ac:dyDescent="0.25">
      <c r="A222" s="60" t="s">
        <v>105</v>
      </c>
      <c r="B222" s="61" t="s">
        <v>296</v>
      </c>
      <c r="C222" s="61" t="s">
        <v>479</v>
      </c>
      <c r="D222" s="61" t="s">
        <v>106</v>
      </c>
      <c r="E222" s="62">
        <f>1000-1000</f>
        <v>0</v>
      </c>
    </row>
    <row r="223" spans="1:5" ht="31.5" x14ac:dyDescent="0.25">
      <c r="A223" s="57" t="s">
        <v>129</v>
      </c>
      <c r="B223" s="58" t="s">
        <v>296</v>
      </c>
      <c r="C223" s="58" t="s">
        <v>319</v>
      </c>
      <c r="D223" s="58"/>
      <c r="E223" s="59">
        <v>54.34</v>
      </c>
    </row>
    <row r="224" spans="1:5" ht="31.5" x14ac:dyDescent="0.25">
      <c r="A224" s="60" t="s">
        <v>105</v>
      </c>
      <c r="B224" s="61" t="s">
        <v>296</v>
      </c>
      <c r="C224" s="61" t="s">
        <v>319</v>
      </c>
      <c r="D224" s="61" t="s">
        <v>106</v>
      </c>
      <c r="E224" s="62">
        <v>54.34</v>
      </c>
    </row>
    <row r="225" spans="1:5" ht="31.5" x14ac:dyDescent="0.25">
      <c r="A225" s="57" t="s">
        <v>9</v>
      </c>
      <c r="B225" s="58" t="s">
        <v>296</v>
      </c>
      <c r="C225" s="58" t="s">
        <v>320</v>
      </c>
      <c r="D225" s="58"/>
      <c r="E225" s="59">
        <v>333.66699999999997</v>
      </c>
    </row>
    <row r="226" spans="1:5" ht="31.5" x14ac:dyDescent="0.25">
      <c r="A226" s="60" t="s">
        <v>105</v>
      </c>
      <c r="B226" s="61" t="s">
        <v>296</v>
      </c>
      <c r="C226" s="61" t="s">
        <v>320</v>
      </c>
      <c r="D226" s="61" t="s">
        <v>106</v>
      </c>
      <c r="E226" s="62">
        <v>333.66699999999997</v>
      </c>
    </row>
    <row r="227" spans="1:5" ht="15.75" x14ac:dyDescent="0.25">
      <c r="A227" s="57" t="s">
        <v>130</v>
      </c>
      <c r="B227" s="58" t="s">
        <v>296</v>
      </c>
      <c r="C227" s="58" t="s">
        <v>321</v>
      </c>
      <c r="D227" s="58"/>
      <c r="E227" s="59">
        <f>96.008+6590.316</f>
        <v>6686.3239999999996</v>
      </c>
    </row>
    <row r="228" spans="1:5" ht="31.5" x14ac:dyDescent="0.25">
      <c r="A228" s="60" t="s">
        <v>105</v>
      </c>
      <c r="B228" s="61" t="s">
        <v>296</v>
      </c>
      <c r="C228" s="61" t="s">
        <v>321</v>
      </c>
      <c r="D228" s="61" t="s">
        <v>106</v>
      </c>
      <c r="E228" s="62">
        <f>96.008+6590.316</f>
        <v>6686.3239999999996</v>
      </c>
    </row>
    <row r="229" spans="1:5" ht="15.75" x14ac:dyDescent="0.25">
      <c r="A229" s="57" t="s">
        <v>131</v>
      </c>
      <c r="B229" s="58" t="s">
        <v>296</v>
      </c>
      <c r="C229" s="58" t="s">
        <v>322</v>
      </c>
      <c r="D229" s="58"/>
      <c r="E229" s="59">
        <f>E230</f>
        <v>5497.4949999999999</v>
      </c>
    </row>
    <row r="230" spans="1:5" ht="15.75" x14ac:dyDescent="0.25">
      <c r="A230" s="57" t="s">
        <v>132</v>
      </c>
      <c r="B230" s="58" t="s">
        <v>296</v>
      </c>
      <c r="C230" s="58" t="s">
        <v>323</v>
      </c>
      <c r="D230" s="58"/>
      <c r="E230" s="59">
        <f>E231+E232+E233</f>
        <v>5497.4949999999999</v>
      </c>
    </row>
    <row r="231" spans="1:5" ht="47.25" x14ac:dyDescent="0.25">
      <c r="A231" s="60" t="s">
        <v>29</v>
      </c>
      <c r="B231" s="61" t="s">
        <v>296</v>
      </c>
      <c r="C231" s="61" t="s">
        <v>323</v>
      </c>
      <c r="D231" s="61" t="s">
        <v>30</v>
      </c>
      <c r="E231" s="62">
        <f>383.287+4528.101-4</f>
        <v>4907.3879999999999</v>
      </c>
    </row>
    <row r="232" spans="1:5" ht="15.75" x14ac:dyDescent="0.25">
      <c r="A232" s="60" t="s">
        <v>33</v>
      </c>
      <c r="B232" s="61" t="s">
        <v>296</v>
      </c>
      <c r="C232" s="61" t="s">
        <v>323</v>
      </c>
      <c r="D232" s="61" t="s">
        <v>7</v>
      </c>
      <c r="E232" s="62">
        <f>4.2+584.607</f>
        <v>588.80700000000002</v>
      </c>
    </row>
    <row r="233" spans="1:5" ht="15.75" x14ac:dyDescent="0.25">
      <c r="A233" s="60" t="s">
        <v>43</v>
      </c>
      <c r="B233" s="61" t="s">
        <v>296</v>
      </c>
      <c r="C233" s="61" t="s">
        <v>323</v>
      </c>
      <c r="D233" s="61" t="s">
        <v>44</v>
      </c>
      <c r="E233" s="62">
        <f>-0.2+1.5</f>
        <v>1.3</v>
      </c>
    </row>
    <row r="234" spans="1:5" ht="15.75" x14ac:dyDescent="0.25">
      <c r="A234" s="57" t="s">
        <v>133</v>
      </c>
      <c r="B234" s="58" t="s">
        <v>296</v>
      </c>
      <c r="C234" s="58" t="s">
        <v>324</v>
      </c>
      <c r="D234" s="58"/>
      <c r="E234" s="59">
        <f>E235+E237</f>
        <v>25904.726140000002</v>
      </c>
    </row>
    <row r="235" spans="1:5" ht="15.75" x14ac:dyDescent="0.25">
      <c r="A235" s="57" t="s">
        <v>134</v>
      </c>
      <c r="B235" s="58" t="s">
        <v>296</v>
      </c>
      <c r="C235" s="58" t="s">
        <v>325</v>
      </c>
      <c r="D235" s="58"/>
      <c r="E235" s="59">
        <f>E236</f>
        <v>12887.756140000003</v>
      </c>
    </row>
    <row r="236" spans="1:5" ht="31.5" x14ac:dyDescent="0.25">
      <c r="A236" s="60" t="s">
        <v>105</v>
      </c>
      <c r="B236" s="61" t="s">
        <v>296</v>
      </c>
      <c r="C236" s="61" t="s">
        <v>325</v>
      </c>
      <c r="D236" s="61" t="s">
        <v>106</v>
      </c>
      <c r="E236" s="62">
        <f>17120.455-130.17-3221.7-880.82886</f>
        <v>12887.756140000003</v>
      </c>
    </row>
    <row r="237" spans="1:5" ht="31.5" x14ac:dyDescent="0.25">
      <c r="A237" s="57" t="s">
        <v>123</v>
      </c>
      <c r="B237" s="61" t="s">
        <v>296</v>
      </c>
      <c r="C237" s="61" t="s">
        <v>494</v>
      </c>
      <c r="D237" s="61"/>
      <c r="E237" s="62">
        <f>E238</f>
        <v>13016.97</v>
      </c>
    </row>
    <row r="238" spans="1:5" ht="31.5" x14ac:dyDescent="0.25">
      <c r="A238" s="60" t="s">
        <v>105</v>
      </c>
      <c r="B238" s="61" t="s">
        <v>296</v>
      </c>
      <c r="C238" s="61" t="s">
        <v>494</v>
      </c>
      <c r="D238" s="61" t="s">
        <v>106</v>
      </c>
      <c r="E238" s="62">
        <f>130.17+12886.8</f>
        <v>13016.97</v>
      </c>
    </row>
    <row r="239" spans="1:5" ht="15.75" x14ac:dyDescent="0.25">
      <c r="A239" s="57" t="s">
        <v>135</v>
      </c>
      <c r="B239" s="58" t="s">
        <v>296</v>
      </c>
      <c r="C239" s="58" t="s">
        <v>326</v>
      </c>
      <c r="D239" s="58"/>
      <c r="E239" s="59">
        <f>E241+E243+E247+E245</f>
        <v>5594.7319600000001</v>
      </c>
    </row>
    <row r="240" spans="1:5" ht="15.75" x14ac:dyDescent="0.25">
      <c r="A240" s="57" t="s">
        <v>136</v>
      </c>
      <c r="B240" s="58" t="s">
        <v>296</v>
      </c>
      <c r="C240" s="58" t="s">
        <v>327</v>
      </c>
      <c r="D240" s="58"/>
      <c r="E240" s="59">
        <f>E241</f>
        <v>2043.5549599999999</v>
      </c>
    </row>
    <row r="241" spans="1:5" ht="31.5" x14ac:dyDescent="0.25">
      <c r="A241" s="60" t="s">
        <v>105</v>
      </c>
      <c r="B241" s="61" t="s">
        <v>296</v>
      </c>
      <c r="C241" s="61" t="s">
        <v>327</v>
      </c>
      <c r="D241" s="61" t="s">
        <v>106</v>
      </c>
      <c r="E241" s="62">
        <f>1648.376+50+345.17896</f>
        <v>2043.5549599999999</v>
      </c>
    </row>
    <row r="242" spans="1:5" ht="31.5" x14ac:dyDescent="0.25">
      <c r="A242" s="57" t="s">
        <v>123</v>
      </c>
      <c r="B242" s="58" t="s">
        <v>296</v>
      </c>
      <c r="C242" s="58" t="s">
        <v>328</v>
      </c>
      <c r="D242" s="58"/>
      <c r="E242" s="59">
        <f>E243</f>
        <v>1128.556</v>
      </c>
    </row>
    <row r="243" spans="1:5" ht="31.5" x14ac:dyDescent="0.25">
      <c r="A243" s="60" t="s">
        <v>105</v>
      </c>
      <c r="B243" s="61" t="s">
        <v>296</v>
      </c>
      <c r="C243" s="61" t="s">
        <v>328</v>
      </c>
      <c r="D243" s="61" t="s">
        <v>106</v>
      </c>
      <c r="E243" s="62">
        <v>1128.556</v>
      </c>
    </row>
    <row r="244" spans="1:5" ht="15.75" x14ac:dyDescent="0.25">
      <c r="A244" s="57" t="s">
        <v>329</v>
      </c>
      <c r="B244" s="58" t="s">
        <v>296</v>
      </c>
      <c r="C244" s="58" t="s">
        <v>330</v>
      </c>
      <c r="D244" s="58"/>
      <c r="E244" s="59">
        <v>422.62099999999998</v>
      </c>
    </row>
    <row r="245" spans="1:5" ht="31.5" x14ac:dyDescent="0.25">
      <c r="A245" s="60" t="s">
        <v>105</v>
      </c>
      <c r="B245" s="61" t="s">
        <v>296</v>
      </c>
      <c r="C245" s="58" t="s">
        <v>330</v>
      </c>
      <c r="D245" s="58" t="s">
        <v>106</v>
      </c>
      <c r="E245" s="59">
        <v>422.62099999999998</v>
      </c>
    </row>
    <row r="246" spans="1:5" ht="15.75" x14ac:dyDescent="0.25">
      <c r="A246" s="57" t="s">
        <v>484</v>
      </c>
      <c r="B246" s="61" t="s">
        <v>296</v>
      </c>
      <c r="C246" s="58" t="s">
        <v>907</v>
      </c>
      <c r="D246" s="58"/>
      <c r="E246" s="59">
        <v>2000</v>
      </c>
    </row>
    <row r="247" spans="1:5" ht="31.5" x14ac:dyDescent="0.25">
      <c r="A247" s="60" t="s">
        <v>105</v>
      </c>
      <c r="B247" s="61" t="s">
        <v>296</v>
      </c>
      <c r="C247" s="58" t="s">
        <v>907</v>
      </c>
      <c r="D247" s="61" t="s">
        <v>106</v>
      </c>
      <c r="E247" s="62">
        <v>2000</v>
      </c>
    </row>
    <row r="248" spans="1:5" ht="31.5" x14ac:dyDescent="0.25">
      <c r="A248" s="57" t="s">
        <v>137</v>
      </c>
      <c r="B248" s="58" t="s">
        <v>296</v>
      </c>
      <c r="C248" s="58" t="s">
        <v>331</v>
      </c>
      <c r="D248" s="58"/>
      <c r="E248" s="59">
        <f>E249+E252+E255</f>
        <v>7486.3790000000008</v>
      </c>
    </row>
    <row r="249" spans="1:5" ht="15.75" x14ac:dyDescent="0.25">
      <c r="A249" s="57" t="s">
        <v>138</v>
      </c>
      <c r="B249" s="58" t="s">
        <v>296</v>
      </c>
      <c r="C249" s="58" t="s">
        <v>332</v>
      </c>
      <c r="D249" s="58"/>
      <c r="E249" s="59">
        <v>250</v>
      </c>
    </row>
    <row r="250" spans="1:5" ht="31.5" x14ac:dyDescent="0.25">
      <c r="A250" s="57" t="s">
        <v>139</v>
      </c>
      <c r="B250" s="58" t="s">
        <v>296</v>
      </c>
      <c r="C250" s="58" t="s">
        <v>333</v>
      </c>
      <c r="D250" s="58"/>
      <c r="E250" s="59">
        <v>250</v>
      </c>
    </row>
    <row r="251" spans="1:5" ht="31.5" x14ac:dyDescent="0.25">
      <c r="A251" s="60" t="s">
        <v>105</v>
      </c>
      <c r="B251" s="61" t="s">
        <v>296</v>
      </c>
      <c r="C251" s="61" t="s">
        <v>333</v>
      </c>
      <c r="D251" s="61" t="s">
        <v>106</v>
      </c>
      <c r="E251" s="62">
        <v>250</v>
      </c>
    </row>
    <row r="252" spans="1:5" ht="15.75" x14ac:dyDescent="0.25">
      <c r="A252" s="57" t="s">
        <v>140</v>
      </c>
      <c r="B252" s="58" t="s">
        <v>296</v>
      </c>
      <c r="C252" s="58" t="s">
        <v>334</v>
      </c>
      <c r="D252" s="58"/>
      <c r="E252" s="59">
        <v>550</v>
      </c>
    </row>
    <row r="253" spans="1:5" ht="31.5" x14ac:dyDescent="0.25">
      <c r="A253" s="57" t="s">
        <v>141</v>
      </c>
      <c r="B253" s="58" t="s">
        <v>296</v>
      </c>
      <c r="C253" s="58" t="s">
        <v>335</v>
      </c>
      <c r="D253" s="58"/>
      <c r="E253" s="59">
        <v>550</v>
      </c>
    </row>
    <row r="254" spans="1:5" ht="31.5" x14ac:dyDescent="0.25">
      <c r="A254" s="60" t="s">
        <v>105</v>
      </c>
      <c r="B254" s="61" t="s">
        <v>296</v>
      </c>
      <c r="C254" s="61" t="s">
        <v>335</v>
      </c>
      <c r="D254" s="61" t="s">
        <v>106</v>
      </c>
      <c r="E254" s="62">
        <v>550</v>
      </c>
    </row>
    <row r="255" spans="1:5" ht="15.75" x14ac:dyDescent="0.25">
      <c r="A255" s="57" t="s">
        <v>142</v>
      </c>
      <c r="B255" s="58" t="s">
        <v>296</v>
      </c>
      <c r="C255" s="58" t="s">
        <v>336</v>
      </c>
      <c r="D255" s="58"/>
      <c r="E255" s="59">
        <f>E256+E258+E260</f>
        <v>6686.3790000000008</v>
      </c>
    </row>
    <row r="256" spans="1:5" ht="31.5" x14ac:dyDescent="0.25">
      <c r="A256" s="57" t="s">
        <v>124</v>
      </c>
      <c r="B256" s="58" t="s">
        <v>296</v>
      </c>
      <c r="C256" s="58" t="s">
        <v>337</v>
      </c>
      <c r="D256" s="58"/>
      <c r="E256" s="59">
        <v>1.024</v>
      </c>
    </row>
    <row r="257" spans="1:5" ht="31.5" x14ac:dyDescent="0.25">
      <c r="A257" s="60" t="s">
        <v>105</v>
      </c>
      <c r="B257" s="61" t="s">
        <v>296</v>
      </c>
      <c r="C257" s="61" t="s">
        <v>337</v>
      </c>
      <c r="D257" s="61" t="s">
        <v>106</v>
      </c>
      <c r="E257" s="62">
        <v>1.024</v>
      </c>
    </row>
    <row r="258" spans="1:5" ht="15.75" x14ac:dyDescent="0.25">
      <c r="A258" s="57" t="s">
        <v>143</v>
      </c>
      <c r="B258" s="58" t="s">
        <v>296</v>
      </c>
      <c r="C258" s="58" t="s">
        <v>338</v>
      </c>
      <c r="D258" s="58"/>
      <c r="E258" s="59">
        <f>E259</f>
        <v>6129.5660000000007</v>
      </c>
    </row>
    <row r="259" spans="1:5" ht="31.5" x14ac:dyDescent="0.25">
      <c r="A259" s="60" t="s">
        <v>105</v>
      </c>
      <c r="B259" s="61" t="s">
        <v>296</v>
      </c>
      <c r="C259" s="61" t="s">
        <v>338</v>
      </c>
      <c r="D259" s="61" t="s">
        <v>106</v>
      </c>
      <c r="E259" s="62">
        <f>7189.497-110-949.931</f>
        <v>6129.5660000000007</v>
      </c>
    </row>
    <row r="260" spans="1:5" ht="31.5" x14ac:dyDescent="0.25">
      <c r="A260" s="57" t="s">
        <v>117</v>
      </c>
      <c r="B260" s="58" t="s">
        <v>296</v>
      </c>
      <c r="C260" s="58" t="s">
        <v>339</v>
      </c>
      <c r="D260" s="58"/>
      <c r="E260" s="59">
        <f>E261</f>
        <v>555.78899999999999</v>
      </c>
    </row>
    <row r="261" spans="1:5" ht="31.5" x14ac:dyDescent="0.25">
      <c r="A261" s="60" t="s">
        <v>105</v>
      </c>
      <c r="B261" s="61" t="s">
        <v>296</v>
      </c>
      <c r="C261" s="61" t="s">
        <v>339</v>
      </c>
      <c r="D261" s="61" t="s">
        <v>106</v>
      </c>
      <c r="E261" s="62">
        <v>555.78899999999999</v>
      </c>
    </row>
    <row r="262" spans="1:5" ht="31.5" x14ac:dyDescent="0.25">
      <c r="A262" s="57" t="s">
        <v>90</v>
      </c>
      <c r="B262" s="58" t="s">
        <v>296</v>
      </c>
      <c r="C262" s="58" t="s">
        <v>340</v>
      </c>
      <c r="D262" s="58"/>
      <c r="E262" s="59">
        <v>696.24199999999996</v>
      </c>
    </row>
    <row r="263" spans="1:5" ht="15.75" x14ac:dyDescent="0.25">
      <c r="A263" s="57" t="s">
        <v>93</v>
      </c>
      <c r="B263" s="58" t="s">
        <v>296</v>
      </c>
      <c r="C263" s="58" t="s">
        <v>341</v>
      </c>
      <c r="D263" s="58"/>
      <c r="E263" s="59">
        <v>696.24199999999996</v>
      </c>
    </row>
    <row r="264" spans="1:5" ht="31.5" x14ac:dyDescent="0.25">
      <c r="A264" s="57" t="s">
        <v>94</v>
      </c>
      <c r="B264" s="58" t="s">
        <v>296</v>
      </c>
      <c r="C264" s="58" t="s">
        <v>342</v>
      </c>
      <c r="D264" s="58"/>
      <c r="E264" s="59">
        <v>696.24199999999996</v>
      </c>
    </row>
    <row r="265" spans="1:5" ht="31.5" x14ac:dyDescent="0.25">
      <c r="A265" s="57" t="s">
        <v>124</v>
      </c>
      <c r="B265" s="58" t="s">
        <v>296</v>
      </c>
      <c r="C265" s="58" t="s">
        <v>343</v>
      </c>
      <c r="D265" s="58"/>
      <c r="E265" s="59">
        <v>696.24199999999996</v>
      </c>
    </row>
    <row r="266" spans="1:5" ht="31.5" x14ac:dyDescent="0.25">
      <c r="A266" s="60" t="s">
        <v>105</v>
      </c>
      <c r="B266" s="61" t="s">
        <v>296</v>
      </c>
      <c r="C266" s="61" t="s">
        <v>343</v>
      </c>
      <c r="D266" s="61" t="s">
        <v>106</v>
      </c>
      <c r="E266" s="62">
        <v>696.24199999999996</v>
      </c>
    </row>
    <row r="267" spans="1:5" ht="31.5" x14ac:dyDescent="0.25">
      <c r="A267" s="71" t="s">
        <v>144</v>
      </c>
      <c r="B267" s="72" t="s">
        <v>145</v>
      </c>
      <c r="C267" s="72"/>
      <c r="D267" s="72"/>
      <c r="E267" s="73">
        <f>E268+E272+E298+E306</f>
        <v>64032.687999999995</v>
      </c>
    </row>
    <row r="268" spans="1:5" ht="31.5" x14ac:dyDescent="0.25">
      <c r="A268" s="74" t="s">
        <v>52</v>
      </c>
      <c r="B268" s="75" t="s">
        <v>145</v>
      </c>
      <c r="C268" s="75" t="s">
        <v>53</v>
      </c>
      <c r="D268" s="75"/>
      <c r="E268" s="76">
        <v>323</v>
      </c>
    </row>
    <row r="269" spans="1:5" ht="31.5" x14ac:dyDescent="0.25">
      <c r="A269" s="74" t="s">
        <v>54</v>
      </c>
      <c r="B269" s="75" t="s">
        <v>145</v>
      </c>
      <c r="C269" s="75" t="s">
        <v>55</v>
      </c>
      <c r="D269" s="75"/>
      <c r="E269" s="76">
        <v>323</v>
      </c>
    </row>
    <row r="270" spans="1:5" ht="15.75" x14ac:dyDescent="0.25">
      <c r="A270" s="74" t="s">
        <v>56</v>
      </c>
      <c r="B270" s="75" t="s">
        <v>145</v>
      </c>
      <c r="C270" s="75" t="s">
        <v>57</v>
      </c>
      <c r="D270" s="75"/>
      <c r="E270" s="76">
        <v>323</v>
      </c>
    </row>
    <row r="271" spans="1:5" ht="15.75" x14ac:dyDescent="0.25">
      <c r="A271" s="77" t="s">
        <v>33</v>
      </c>
      <c r="B271" s="78" t="s">
        <v>145</v>
      </c>
      <c r="C271" s="78" t="s">
        <v>57</v>
      </c>
      <c r="D271" s="78" t="s">
        <v>7</v>
      </c>
      <c r="E271" s="79">
        <v>323</v>
      </c>
    </row>
    <row r="272" spans="1:5" ht="31.5" x14ac:dyDescent="0.25">
      <c r="A272" s="74" t="s">
        <v>67</v>
      </c>
      <c r="B272" s="75" t="s">
        <v>145</v>
      </c>
      <c r="C272" s="75" t="s">
        <v>68</v>
      </c>
      <c r="D272" s="75"/>
      <c r="E272" s="76">
        <f>E273+E291</f>
        <v>57453.870999999999</v>
      </c>
    </row>
    <row r="273" spans="1:9" ht="31.5" x14ac:dyDescent="0.25">
      <c r="A273" s="74" t="s">
        <v>69</v>
      </c>
      <c r="B273" s="75" t="s">
        <v>145</v>
      </c>
      <c r="C273" s="75" t="s">
        <v>70</v>
      </c>
      <c r="D273" s="75"/>
      <c r="E273" s="76">
        <f>E274+E276+E278+E283+E285+E287+E289</f>
        <v>53545.4</v>
      </c>
    </row>
    <row r="274" spans="1:9" ht="47.25" x14ac:dyDescent="0.25">
      <c r="A274" s="74" t="s">
        <v>146</v>
      </c>
      <c r="B274" s="75" t="s">
        <v>145</v>
      </c>
      <c r="C274" s="75" t="s">
        <v>147</v>
      </c>
      <c r="D274" s="75"/>
      <c r="E274" s="76">
        <v>1000</v>
      </c>
    </row>
    <row r="275" spans="1:9" ht="15.75" x14ac:dyDescent="0.25">
      <c r="A275" s="77" t="s">
        <v>33</v>
      </c>
      <c r="B275" s="78" t="s">
        <v>145</v>
      </c>
      <c r="C275" s="78" t="s">
        <v>147</v>
      </c>
      <c r="D275" s="78" t="s">
        <v>7</v>
      </c>
      <c r="E275" s="79">
        <v>1000</v>
      </c>
    </row>
    <row r="276" spans="1:9" ht="15.75" x14ac:dyDescent="0.25">
      <c r="A276" s="74" t="s">
        <v>148</v>
      </c>
      <c r="B276" s="75" t="s">
        <v>145</v>
      </c>
      <c r="C276" s="75" t="s">
        <v>149</v>
      </c>
      <c r="D276" s="75"/>
      <c r="E276" s="76">
        <v>100</v>
      </c>
    </row>
    <row r="277" spans="1:9" ht="15.75" x14ac:dyDescent="0.25">
      <c r="A277" s="77" t="s">
        <v>33</v>
      </c>
      <c r="B277" s="78" t="s">
        <v>145</v>
      </c>
      <c r="C277" s="78" t="s">
        <v>149</v>
      </c>
      <c r="D277" s="78" t="s">
        <v>7</v>
      </c>
      <c r="E277" s="79">
        <v>100</v>
      </c>
    </row>
    <row r="278" spans="1:9" ht="47.25" x14ac:dyDescent="0.25">
      <c r="A278" s="74" t="s">
        <v>150</v>
      </c>
      <c r="B278" s="75" t="s">
        <v>145</v>
      </c>
      <c r="C278" s="75" t="s">
        <v>151</v>
      </c>
      <c r="D278" s="75"/>
      <c r="E278" s="76">
        <v>13099.6</v>
      </c>
      <c r="I278" s="125"/>
    </row>
    <row r="279" spans="1:9" ht="78.75" x14ac:dyDescent="0.25">
      <c r="A279" s="81" t="s">
        <v>152</v>
      </c>
      <c r="B279" s="75" t="s">
        <v>145</v>
      </c>
      <c r="C279" s="75" t="s">
        <v>153</v>
      </c>
      <c r="D279" s="75"/>
      <c r="E279" s="59">
        <v>2965.23</v>
      </c>
    </row>
    <row r="280" spans="1:9" ht="15.75" x14ac:dyDescent="0.25">
      <c r="A280" s="77" t="s">
        <v>154</v>
      </c>
      <c r="B280" s="78" t="s">
        <v>145</v>
      </c>
      <c r="C280" s="78" t="s">
        <v>153</v>
      </c>
      <c r="D280" s="78" t="s">
        <v>10</v>
      </c>
      <c r="E280" s="62">
        <v>2965.23</v>
      </c>
    </row>
    <row r="281" spans="1:9" ht="78.75" x14ac:dyDescent="0.25">
      <c r="A281" s="81" t="s">
        <v>152</v>
      </c>
      <c r="B281" s="75" t="s">
        <v>145</v>
      </c>
      <c r="C281" s="75" t="s">
        <v>155</v>
      </c>
      <c r="D281" s="75"/>
      <c r="E281" s="59">
        <v>10134.370000000001</v>
      </c>
    </row>
    <row r="282" spans="1:9" ht="15.75" x14ac:dyDescent="0.25">
      <c r="A282" s="77" t="s">
        <v>154</v>
      </c>
      <c r="B282" s="78" t="s">
        <v>145</v>
      </c>
      <c r="C282" s="78" t="s">
        <v>155</v>
      </c>
      <c r="D282" s="78" t="s">
        <v>10</v>
      </c>
      <c r="E282" s="62">
        <v>10134.370000000001</v>
      </c>
    </row>
    <row r="283" spans="1:9" ht="15.75" x14ac:dyDescent="0.25">
      <c r="A283" s="74" t="s">
        <v>156</v>
      </c>
      <c r="B283" s="75" t="s">
        <v>145</v>
      </c>
      <c r="C283" s="75" t="s">
        <v>157</v>
      </c>
      <c r="D283" s="75"/>
      <c r="E283" s="76">
        <f>E284</f>
        <v>8600</v>
      </c>
    </row>
    <row r="284" spans="1:9" ht="15.75" x14ac:dyDescent="0.25">
      <c r="A284" s="77" t="s">
        <v>154</v>
      </c>
      <c r="B284" s="78" t="s">
        <v>145</v>
      </c>
      <c r="C284" s="78" t="s">
        <v>157</v>
      </c>
      <c r="D284" s="78" t="s">
        <v>10</v>
      </c>
      <c r="E284" s="79">
        <f>5000+3600</f>
        <v>8600</v>
      </c>
    </row>
    <row r="285" spans="1:9" ht="31.5" x14ac:dyDescent="0.25">
      <c r="A285" s="74" t="s">
        <v>158</v>
      </c>
      <c r="B285" s="75" t="s">
        <v>145</v>
      </c>
      <c r="C285" s="75" t="s">
        <v>159</v>
      </c>
      <c r="D285" s="75"/>
      <c r="E285" s="76">
        <v>29208.51</v>
      </c>
    </row>
    <row r="286" spans="1:9" ht="15.75" x14ac:dyDescent="0.25">
      <c r="A286" s="77" t="s">
        <v>154</v>
      </c>
      <c r="B286" s="78" t="s">
        <v>145</v>
      </c>
      <c r="C286" s="78" t="s">
        <v>159</v>
      </c>
      <c r="D286" s="78" t="s">
        <v>10</v>
      </c>
      <c r="E286" s="79">
        <v>29208.51</v>
      </c>
    </row>
    <row r="287" spans="1:9" ht="31.5" x14ac:dyDescent="0.25">
      <c r="A287" s="74" t="s">
        <v>158</v>
      </c>
      <c r="B287" s="75" t="s">
        <v>145</v>
      </c>
      <c r="C287" s="75" t="s">
        <v>160</v>
      </c>
      <c r="D287" s="75"/>
      <c r="E287" s="76">
        <v>1229.8320000000001</v>
      </c>
    </row>
    <row r="288" spans="1:9" ht="15.75" x14ac:dyDescent="0.25">
      <c r="A288" s="77" t="s">
        <v>154</v>
      </c>
      <c r="B288" s="78" t="s">
        <v>145</v>
      </c>
      <c r="C288" s="78" t="s">
        <v>160</v>
      </c>
      <c r="D288" s="78" t="s">
        <v>10</v>
      </c>
      <c r="E288" s="79">
        <v>1229.8320000000001</v>
      </c>
    </row>
    <row r="289" spans="1:5" ht="31.5" x14ac:dyDescent="0.25">
      <c r="A289" s="74" t="s">
        <v>158</v>
      </c>
      <c r="B289" s="75" t="s">
        <v>145</v>
      </c>
      <c r="C289" s="75" t="s">
        <v>161</v>
      </c>
      <c r="D289" s="75"/>
      <c r="E289" s="76">
        <v>307.45800000000003</v>
      </c>
    </row>
    <row r="290" spans="1:5" ht="15.75" x14ac:dyDescent="0.25">
      <c r="A290" s="77" t="s">
        <v>154</v>
      </c>
      <c r="B290" s="78" t="s">
        <v>145</v>
      </c>
      <c r="C290" s="78" t="s">
        <v>161</v>
      </c>
      <c r="D290" s="78" t="s">
        <v>10</v>
      </c>
      <c r="E290" s="79">
        <v>307.45800000000003</v>
      </c>
    </row>
    <row r="291" spans="1:5" ht="31.5" x14ac:dyDescent="0.25">
      <c r="A291" s="74" t="s">
        <v>73</v>
      </c>
      <c r="B291" s="75" t="s">
        <v>145</v>
      </c>
      <c r="C291" s="75" t="s">
        <v>74</v>
      </c>
      <c r="D291" s="75"/>
      <c r="E291" s="76">
        <f>E292+E294+E296</f>
        <v>3908.471</v>
      </c>
    </row>
    <row r="292" spans="1:5" ht="15.75" x14ac:dyDescent="0.25">
      <c r="A292" s="74" t="s">
        <v>162</v>
      </c>
      <c r="B292" s="75" t="s">
        <v>145</v>
      </c>
      <c r="C292" s="75" t="s">
        <v>163</v>
      </c>
      <c r="D292" s="75"/>
      <c r="E292" s="76">
        <f>E293</f>
        <v>939.00200000000007</v>
      </c>
    </row>
    <row r="293" spans="1:5" ht="15.75" x14ac:dyDescent="0.25">
      <c r="A293" s="77" t="s">
        <v>33</v>
      </c>
      <c r="B293" s="78" t="s">
        <v>145</v>
      </c>
      <c r="C293" s="78" t="s">
        <v>163</v>
      </c>
      <c r="D293" s="78" t="s">
        <v>7</v>
      </c>
      <c r="E293" s="79">
        <f>620.003+49.553+269.446</f>
        <v>939.00200000000007</v>
      </c>
    </row>
    <row r="294" spans="1:5" ht="31.5" x14ac:dyDescent="0.25">
      <c r="A294" s="74" t="s">
        <v>76</v>
      </c>
      <c r="B294" s="75" t="s">
        <v>145</v>
      </c>
      <c r="C294" s="58" t="s">
        <v>77</v>
      </c>
      <c r="D294" s="58"/>
      <c r="E294" s="59">
        <f>E295</f>
        <v>804.85799999999995</v>
      </c>
    </row>
    <row r="295" spans="1:5" ht="15.75" x14ac:dyDescent="0.25">
      <c r="A295" s="77" t="s">
        <v>33</v>
      </c>
      <c r="B295" s="78" t="s">
        <v>145</v>
      </c>
      <c r="C295" s="61" t="s">
        <v>77</v>
      </c>
      <c r="D295" s="61" t="s">
        <v>7</v>
      </c>
      <c r="E295" s="62">
        <f>304.858+500</f>
        <v>804.85799999999995</v>
      </c>
    </row>
    <row r="296" spans="1:5" ht="15.75" x14ac:dyDescent="0.25">
      <c r="A296" s="74" t="s">
        <v>164</v>
      </c>
      <c r="B296" s="75" t="s">
        <v>145</v>
      </c>
      <c r="C296" s="75" t="s">
        <v>165</v>
      </c>
      <c r="D296" s="75"/>
      <c r="E296" s="76">
        <f>E297</f>
        <v>2164.6109999999999</v>
      </c>
    </row>
    <row r="297" spans="1:5" ht="15.75" x14ac:dyDescent="0.25">
      <c r="A297" s="77" t="s">
        <v>33</v>
      </c>
      <c r="B297" s="78" t="s">
        <v>145</v>
      </c>
      <c r="C297" s="78" t="s">
        <v>165</v>
      </c>
      <c r="D297" s="78" t="s">
        <v>7</v>
      </c>
      <c r="E297" s="79">
        <f>1864.611+300</f>
        <v>2164.6109999999999</v>
      </c>
    </row>
    <row r="298" spans="1:5" ht="31.5" x14ac:dyDescent="0.25">
      <c r="A298" s="74" t="s">
        <v>79</v>
      </c>
      <c r="B298" s="75" t="s">
        <v>145</v>
      </c>
      <c r="C298" s="75" t="s">
        <v>80</v>
      </c>
      <c r="D298" s="75"/>
      <c r="E298" s="76">
        <f>E299</f>
        <v>6190.5770000000002</v>
      </c>
    </row>
    <row r="299" spans="1:5" ht="15.75" x14ac:dyDescent="0.25">
      <c r="A299" s="74" t="s">
        <v>166</v>
      </c>
      <c r="B299" s="75" t="s">
        <v>145</v>
      </c>
      <c r="C299" s="75" t="s">
        <v>167</v>
      </c>
      <c r="D299" s="75"/>
      <c r="E299" s="76">
        <f>E300+E302</f>
        <v>6190.5770000000002</v>
      </c>
    </row>
    <row r="300" spans="1:5" ht="47.25" x14ac:dyDescent="0.25">
      <c r="A300" s="74" t="s">
        <v>168</v>
      </c>
      <c r="B300" s="75" t="s">
        <v>145</v>
      </c>
      <c r="C300" s="75" t="s">
        <v>169</v>
      </c>
      <c r="D300" s="75"/>
      <c r="E300" s="76">
        <v>203.37200000000001</v>
      </c>
    </row>
    <row r="301" spans="1:5" ht="15.75" x14ac:dyDescent="0.25">
      <c r="A301" s="77" t="s">
        <v>33</v>
      </c>
      <c r="B301" s="78" t="s">
        <v>145</v>
      </c>
      <c r="C301" s="78" t="s">
        <v>169</v>
      </c>
      <c r="D301" s="78" t="s">
        <v>7</v>
      </c>
      <c r="E301" s="79">
        <v>203.37200000000001</v>
      </c>
    </row>
    <row r="302" spans="1:5" ht="15.75" x14ac:dyDescent="0.25">
      <c r="A302" s="74" t="s">
        <v>170</v>
      </c>
      <c r="B302" s="75" t="s">
        <v>145</v>
      </c>
      <c r="C302" s="75" t="s">
        <v>171</v>
      </c>
      <c r="D302" s="75"/>
      <c r="E302" s="76">
        <f>E303+E304+E305</f>
        <v>5987.2049999999999</v>
      </c>
    </row>
    <row r="303" spans="1:5" ht="47.25" x14ac:dyDescent="0.25">
      <c r="A303" s="77" t="s">
        <v>29</v>
      </c>
      <c r="B303" s="78" t="s">
        <v>145</v>
      </c>
      <c r="C303" s="78" t="s">
        <v>171</v>
      </c>
      <c r="D303" s="78" t="s">
        <v>30</v>
      </c>
      <c r="E303" s="79">
        <f>4820.022+203.88+469.001</f>
        <v>5492.9030000000002</v>
      </c>
    </row>
    <row r="304" spans="1:5" ht="15.75" x14ac:dyDescent="0.25">
      <c r="A304" s="77" t="s">
        <v>33</v>
      </c>
      <c r="B304" s="78" t="s">
        <v>145</v>
      </c>
      <c r="C304" s="78" t="s">
        <v>171</v>
      </c>
      <c r="D304" s="78" t="s">
        <v>7</v>
      </c>
      <c r="E304" s="79">
        <v>348</v>
      </c>
    </row>
    <row r="305" spans="1:5" ht="15.75" x14ac:dyDescent="0.25">
      <c r="A305" s="77" t="s">
        <v>43</v>
      </c>
      <c r="B305" s="78" t="s">
        <v>145</v>
      </c>
      <c r="C305" s="78" t="s">
        <v>171</v>
      </c>
      <c r="D305" s="78" t="s">
        <v>44</v>
      </c>
      <c r="E305" s="79">
        <v>146.30199999999999</v>
      </c>
    </row>
    <row r="306" spans="1:5" ht="15.75" x14ac:dyDescent="0.25">
      <c r="A306" s="74" t="s">
        <v>23</v>
      </c>
      <c r="B306" s="75" t="s">
        <v>145</v>
      </c>
      <c r="C306" s="75" t="s">
        <v>24</v>
      </c>
      <c r="D306" s="75"/>
      <c r="E306" s="76">
        <f>E307</f>
        <v>65.239999999999995</v>
      </c>
    </row>
    <row r="307" spans="1:5" ht="15.75" x14ac:dyDescent="0.25">
      <c r="A307" s="74" t="s">
        <v>25</v>
      </c>
      <c r="B307" s="75" t="s">
        <v>145</v>
      </c>
      <c r="C307" s="75" t="s">
        <v>26</v>
      </c>
      <c r="D307" s="75"/>
      <c r="E307" s="76">
        <f>E308</f>
        <v>65.239999999999995</v>
      </c>
    </row>
    <row r="308" spans="1:5" ht="15.75" x14ac:dyDescent="0.25">
      <c r="A308" s="74" t="s">
        <v>38</v>
      </c>
      <c r="B308" s="75" t="s">
        <v>145</v>
      </c>
      <c r="C308" s="75" t="s">
        <v>39</v>
      </c>
      <c r="D308" s="75"/>
      <c r="E308" s="76">
        <f>E309</f>
        <v>65.239999999999995</v>
      </c>
    </row>
    <row r="309" spans="1:5" ht="15.75" x14ac:dyDescent="0.25">
      <c r="A309" s="77" t="s">
        <v>43</v>
      </c>
      <c r="B309" s="78" t="s">
        <v>145</v>
      </c>
      <c r="C309" s="78" t="s">
        <v>39</v>
      </c>
      <c r="D309" s="78" t="s">
        <v>44</v>
      </c>
      <c r="E309" s="79">
        <f>15.2+0.04+50</f>
        <v>65.239999999999995</v>
      </c>
    </row>
    <row r="310" spans="1:5" ht="31.5" x14ac:dyDescent="0.25">
      <c r="A310" s="71" t="s">
        <v>422</v>
      </c>
      <c r="B310" s="72" t="s">
        <v>423</v>
      </c>
      <c r="C310" s="72"/>
      <c r="D310" s="72"/>
      <c r="E310" s="73">
        <f>E311+E379+E393</f>
        <v>448892.18900000007</v>
      </c>
    </row>
    <row r="311" spans="1:5" ht="15.75" x14ac:dyDescent="0.25">
      <c r="A311" s="74" t="s">
        <v>172</v>
      </c>
      <c r="B311" s="75" t="s">
        <v>423</v>
      </c>
      <c r="C311" s="75" t="s">
        <v>424</v>
      </c>
      <c r="D311" s="75"/>
      <c r="E311" s="76">
        <f>E312+E330+E354+E367+E374</f>
        <v>430854.80100000009</v>
      </c>
    </row>
    <row r="312" spans="1:5" ht="15.75" x14ac:dyDescent="0.25">
      <c r="A312" s="74" t="s">
        <v>173</v>
      </c>
      <c r="B312" s="75" t="s">
        <v>423</v>
      </c>
      <c r="C312" s="75" t="s">
        <v>425</v>
      </c>
      <c r="D312" s="75"/>
      <c r="E312" s="76">
        <f>E313+E315+E317+E319+E321+E324+E326+E328</f>
        <v>147920.995</v>
      </c>
    </row>
    <row r="313" spans="1:5" ht="31.5" x14ac:dyDescent="0.25">
      <c r="A313" s="74" t="s">
        <v>124</v>
      </c>
      <c r="B313" s="75" t="s">
        <v>423</v>
      </c>
      <c r="C313" s="75" t="s">
        <v>426</v>
      </c>
      <c r="D313" s="75"/>
      <c r="E313" s="76">
        <v>134.63200000000001</v>
      </c>
    </row>
    <row r="314" spans="1:5" ht="31.5" x14ac:dyDescent="0.25">
      <c r="A314" s="77" t="s">
        <v>105</v>
      </c>
      <c r="B314" s="78" t="s">
        <v>423</v>
      </c>
      <c r="C314" s="78" t="s">
        <v>426</v>
      </c>
      <c r="D314" s="78" t="s">
        <v>106</v>
      </c>
      <c r="E314" s="79">
        <v>134.63200000000001</v>
      </c>
    </row>
    <row r="315" spans="1:5" ht="31.5" x14ac:dyDescent="0.25">
      <c r="A315" s="74" t="s">
        <v>174</v>
      </c>
      <c r="B315" s="75" t="s">
        <v>423</v>
      </c>
      <c r="C315" s="75" t="s">
        <v>427</v>
      </c>
      <c r="D315" s="75"/>
      <c r="E315" s="76">
        <f>E316</f>
        <v>58272.228999999992</v>
      </c>
    </row>
    <row r="316" spans="1:5" ht="31.5" x14ac:dyDescent="0.25">
      <c r="A316" s="77" t="s">
        <v>105</v>
      </c>
      <c r="B316" s="78" t="s">
        <v>423</v>
      </c>
      <c r="C316" s="78" t="s">
        <v>427</v>
      </c>
      <c r="D316" s="78" t="s">
        <v>106</v>
      </c>
      <c r="E316" s="79">
        <f>58288.793-40.769+6.575+17.63</f>
        <v>58272.228999999992</v>
      </c>
    </row>
    <row r="317" spans="1:5" ht="31.5" x14ac:dyDescent="0.25">
      <c r="A317" s="74" t="s">
        <v>175</v>
      </c>
      <c r="B317" s="75" t="s">
        <v>423</v>
      </c>
      <c r="C317" s="75" t="s">
        <v>428</v>
      </c>
      <c r="D317" s="75"/>
      <c r="E317" s="76">
        <v>82561.740000000005</v>
      </c>
    </row>
    <row r="318" spans="1:5" ht="31.5" x14ac:dyDescent="0.25">
      <c r="A318" s="77" t="s">
        <v>105</v>
      </c>
      <c r="B318" s="78" t="s">
        <v>423</v>
      </c>
      <c r="C318" s="78" t="s">
        <v>428</v>
      </c>
      <c r="D318" s="78" t="s">
        <v>106</v>
      </c>
      <c r="E318" s="79">
        <v>82561.740000000005</v>
      </c>
    </row>
    <row r="319" spans="1:5" ht="31.5" x14ac:dyDescent="0.25">
      <c r="A319" s="57" t="s">
        <v>496</v>
      </c>
      <c r="B319" s="78" t="s">
        <v>423</v>
      </c>
      <c r="C319" s="78" t="s">
        <v>501</v>
      </c>
      <c r="D319" s="78"/>
      <c r="E319" s="79">
        <f>E320</f>
        <v>3419.3940000000002</v>
      </c>
    </row>
    <row r="320" spans="1:5" ht="31.5" x14ac:dyDescent="0.25">
      <c r="A320" s="60" t="s">
        <v>105</v>
      </c>
      <c r="B320" s="78" t="s">
        <v>423</v>
      </c>
      <c r="C320" s="78" t="s">
        <v>501</v>
      </c>
      <c r="D320" s="78" t="s">
        <v>106</v>
      </c>
      <c r="E320" s="79">
        <f>4076.969-6.575-651</f>
        <v>3419.3940000000002</v>
      </c>
    </row>
    <row r="321" spans="1:5" ht="63" x14ac:dyDescent="0.25">
      <c r="A321" s="74" t="s">
        <v>176</v>
      </c>
      <c r="B321" s="75" t="s">
        <v>423</v>
      </c>
      <c r="C321" s="75" t="s">
        <v>429</v>
      </c>
      <c r="D321" s="75"/>
      <c r="E321" s="76">
        <f>E322</f>
        <v>2883.2</v>
      </c>
    </row>
    <row r="322" spans="1:5" ht="63" x14ac:dyDescent="0.25">
      <c r="A322" s="74" t="s">
        <v>176</v>
      </c>
      <c r="B322" s="75" t="s">
        <v>423</v>
      </c>
      <c r="C322" s="75" t="s">
        <v>430</v>
      </c>
      <c r="D322" s="75"/>
      <c r="E322" s="76">
        <f>E323</f>
        <v>2883.2</v>
      </c>
    </row>
    <row r="323" spans="1:5" ht="31.5" x14ac:dyDescent="0.25">
      <c r="A323" s="77" t="s">
        <v>105</v>
      </c>
      <c r="B323" s="78" t="s">
        <v>423</v>
      </c>
      <c r="C323" s="78" t="s">
        <v>430</v>
      </c>
      <c r="D323" s="78" t="s">
        <v>106</v>
      </c>
      <c r="E323" s="79">
        <f>2563.2+320</f>
        <v>2883.2</v>
      </c>
    </row>
    <row r="324" spans="1:5" ht="15.75" x14ac:dyDescent="0.25">
      <c r="A324" s="74" t="s">
        <v>177</v>
      </c>
      <c r="B324" s="75" t="s">
        <v>423</v>
      </c>
      <c r="C324" s="75" t="s">
        <v>431</v>
      </c>
      <c r="D324" s="75"/>
      <c r="E324" s="76">
        <f>E325</f>
        <v>415</v>
      </c>
    </row>
    <row r="325" spans="1:5" ht="31.5" x14ac:dyDescent="0.25">
      <c r="A325" s="77" t="s">
        <v>105</v>
      </c>
      <c r="B325" s="78" t="s">
        <v>423</v>
      </c>
      <c r="C325" s="78" t="s">
        <v>431</v>
      </c>
      <c r="D325" s="78" t="s">
        <v>106</v>
      </c>
      <c r="E325" s="79">
        <f>290+125</f>
        <v>415</v>
      </c>
    </row>
    <row r="326" spans="1:5" ht="31.5" x14ac:dyDescent="0.25">
      <c r="A326" s="74" t="s">
        <v>178</v>
      </c>
      <c r="B326" s="75" t="s">
        <v>423</v>
      </c>
      <c r="C326" s="75" t="s">
        <v>432</v>
      </c>
      <c r="D326" s="75"/>
      <c r="E326" s="76">
        <f>E327</f>
        <v>141</v>
      </c>
    </row>
    <row r="327" spans="1:5" ht="31.5" x14ac:dyDescent="0.25">
      <c r="A327" s="77" t="s">
        <v>105</v>
      </c>
      <c r="B327" s="78" t="s">
        <v>423</v>
      </c>
      <c r="C327" s="78" t="s">
        <v>432</v>
      </c>
      <c r="D327" s="78" t="s">
        <v>106</v>
      </c>
      <c r="E327" s="79">
        <f>71+70</f>
        <v>141</v>
      </c>
    </row>
    <row r="328" spans="1:5" ht="15.75" x14ac:dyDescent="0.25">
      <c r="A328" s="74" t="s">
        <v>179</v>
      </c>
      <c r="B328" s="75" t="s">
        <v>423</v>
      </c>
      <c r="C328" s="75" t="s">
        <v>433</v>
      </c>
      <c r="D328" s="75"/>
      <c r="E328" s="76">
        <f>E329</f>
        <v>93.8</v>
      </c>
    </row>
    <row r="329" spans="1:5" ht="31.5" x14ac:dyDescent="0.25">
      <c r="A329" s="77" t="s">
        <v>105</v>
      </c>
      <c r="B329" s="78" t="s">
        <v>423</v>
      </c>
      <c r="C329" s="78" t="s">
        <v>433</v>
      </c>
      <c r="D329" s="78" t="s">
        <v>106</v>
      </c>
      <c r="E329" s="79">
        <f>-9.4+103.2</f>
        <v>93.8</v>
      </c>
    </row>
    <row r="330" spans="1:5" ht="15.75" x14ac:dyDescent="0.25">
      <c r="A330" s="74" t="s">
        <v>180</v>
      </c>
      <c r="B330" s="75" t="s">
        <v>423</v>
      </c>
      <c r="C330" s="75" t="s">
        <v>434</v>
      </c>
      <c r="D330" s="75"/>
      <c r="E330" s="76">
        <f>E331+E333+E335+E337+E339+E342+E344+E346+E348+E350+E352</f>
        <v>237168.29</v>
      </c>
    </row>
    <row r="331" spans="1:5" ht="31.5" x14ac:dyDescent="0.25">
      <c r="A331" s="74" t="s">
        <v>124</v>
      </c>
      <c r="B331" s="75" t="s">
        <v>423</v>
      </c>
      <c r="C331" s="75" t="s">
        <v>435</v>
      </c>
      <c r="D331" s="75"/>
      <c r="E331" s="76">
        <v>80.161000000000001</v>
      </c>
    </row>
    <row r="332" spans="1:5" ht="31.5" x14ac:dyDescent="0.25">
      <c r="A332" s="77" t="s">
        <v>105</v>
      </c>
      <c r="B332" s="78" t="s">
        <v>423</v>
      </c>
      <c r="C332" s="78" t="s">
        <v>435</v>
      </c>
      <c r="D332" s="78" t="s">
        <v>106</v>
      </c>
      <c r="E332" s="79">
        <v>80.161000000000001</v>
      </c>
    </row>
    <row r="333" spans="1:5" ht="31.5" x14ac:dyDescent="0.25">
      <c r="A333" s="74" t="s">
        <v>181</v>
      </c>
      <c r="B333" s="75" t="s">
        <v>423</v>
      </c>
      <c r="C333" s="75" t="s">
        <v>436</v>
      </c>
      <c r="D333" s="75"/>
      <c r="E333" s="76">
        <f>E334</f>
        <v>43088.934000000008</v>
      </c>
    </row>
    <row r="334" spans="1:5" ht="31.5" x14ac:dyDescent="0.25">
      <c r="A334" s="77" t="s">
        <v>105</v>
      </c>
      <c r="B334" s="78" t="s">
        <v>423</v>
      </c>
      <c r="C334" s="78" t="s">
        <v>436</v>
      </c>
      <c r="D334" s="78" t="s">
        <v>106</v>
      </c>
      <c r="E334" s="79">
        <f>43477.393-133.208-6.575-95.969-149.215-3.492</f>
        <v>43088.934000000008</v>
      </c>
    </row>
    <row r="335" spans="1:5" ht="31.5" x14ac:dyDescent="0.25">
      <c r="A335" s="74" t="s">
        <v>175</v>
      </c>
      <c r="B335" s="75" t="s">
        <v>423</v>
      </c>
      <c r="C335" s="75" t="s">
        <v>437</v>
      </c>
      <c r="D335" s="75"/>
      <c r="E335" s="76">
        <f>E336</f>
        <v>166857.66</v>
      </c>
    </row>
    <row r="336" spans="1:5" ht="31.5" x14ac:dyDescent="0.25">
      <c r="A336" s="77" t="s">
        <v>105</v>
      </c>
      <c r="B336" s="78" t="s">
        <v>423</v>
      </c>
      <c r="C336" s="78" t="s">
        <v>437</v>
      </c>
      <c r="D336" s="78" t="s">
        <v>106</v>
      </c>
      <c r="E336" s="79">
        <f>165643.06+1214.6</f>
        <v>166857.66</v>
      </c>
    </row>
    <row r="337" spans="1:5" ht="31.5" x14ac:dyDescent="0.25">
      <c r="A337" s="57" t="s">
        <v>496</v>
      </c>
      <c r="B337" s="75" t="s">
        <v>423</v>
      </c>
      <c r="C337" s="75" t="s">
        <v>502</v>
      </c>
      <c r="D337" s="75"/>
      <c r="E337" s="79">
        <f>E338</f>
        <v>13978.383000000002</v>
      </c>
    </row>
    <row r="338" spans="1:5" ht="31.5" x14ac:dyDescent="0.25">
      <c r="A338" s="60" t="s">
        <v>105</v>
      </c>
      <c r="B338" s="78" t="s">
        <v>423</v>
      </c>
      <c r="C338" s="75" t="s">
        <v>502</v>
      </c>
      <c r="D338" s="78" t="s">
        <v>106</v>
      </c>
      <c r="E338" s="79">
        <f>13320.808+657.575</f>
        <v>13978.383000000002</v>
      </c>
    </row>
    <row r="339" spans="1:5" ht="63" x14ac:dyDescent="0.25">
      <c r="A339" s="74" t="s">
        <v>176</v>
      </c>
      <c r="B339" s="75" t="s">
        <v>423</v>
      </c>
      <c r="C339" s="75" t="s">
        <v>438</v>
      </c>
      <c r="D339" s="75"/>
      <c r="E339" s="76">
        <f>E340</f>
        <v>598</v>
      </c>
    </row>
    <row r="340" spans="1:5" ht="63" x14ac:dyDescent="0.25">
      <c r="A340" s="74" t="s">
        <v>176</v>
      </c>
      <c r="B340" s="75" t="s">
        <v>423</v>
      </c>
      <c r="C340" s="75" t="s">
        <v>439</v>
      </c>
      <c r="D340" s="75"/>
      <c r="E340" s="76">
        <f>E341</f>
        <v>598</v>
      </c>
    </row>
    <row r="341" spans="1:5" ht="31.5" x14ac:dyDescent="0.25">
      <c r="A341" s="77" t="s">
        <v>105</v>
      </c>
      <c r="B341" s="78" t="s">
        <v>423</v>
      </c>
      <c r="C341" s="78" t="s">
        <v>439</v>
      </c>
      <c r="D341" s="78" t="s">
        <v>106</v>
      </c>
      <c r="E341" s="79">
        <f>357+241</f>
        <v>598</v>
      </c>
    </row>
    <row r="342" spans="1:5" ht="15.75" x14ac:dyDescent="0.25">
      <c r="A342" s="74" t="s">
        <v>179</v>
      </c>
      <c r="B342" s="75" t="s">
        <v>423</v>
      </c>
      <c r="C342" s="75" t="s">
        <v>440</v>
      </c>
      <c r="D342" s="75"/>
      <c r="E342" s="76">
        <f>E343</f>
        <v>766.36900000000003</v>
      </c>
    </row>
    <row r="343" spans="1:5" ht="31.5" x14ac:dyDescent="0.25">
      <c r="A343" s="77" t="s">
        <v>105</v>
      </c>
      <c r="B343" s="78" t="s">
        <v>423</v>
      </c>
      <c r="C343" s="78" t="s">
        <v>440</v>
      </c>
      <c r="D343" s="78" t="s">
        <v>106</v>
      </c>
      <c r="E343" s="79">
        <f>105.369+661</f>
        <v>766.36900000000003</v>
      </c>
    </row>
    <row r="344" spans="1:5" ht="15.75" x14ac:dyDescent="0.25">
      <c r="A344" s="74" t="s">
        <v>182</v>
      </c>
      <c r="B344" s="75" t="s">
        <v>423</v>
      </c>
      <c r="C344" s="75" t="s">
        <v>441</v>
      </c>
      <c r="D344" s="75"/>
      <c r="E344" s="76">
        <f>E345</f>
        <v>43</v>
      </c>
    </row>
    <row r="345" spans="1:5" ht="31.5" x14ac:dyDescent="0.25">
      <c r="A345" s="77" t="s">
        <v>105</v>
      </c>
      <c r="B345" s="78" t="s">
        <v>423</v>
      </c>
      <c r="C345" s="78" t="s">
        <v>441</v>
      </c>
      <c r="D345" s="78" t="s">
        <v>106</v>
      </c>
      <c r="E345" s="79">
        <f>33+10</f>
        <v>43</v>
      </c>
    </row>
    <row r="346" spans="1:5" ht="15.75" x14ac:dyDescent="0.25">
      <c r="A346" s="74" t="s">
        <v>183</v>
      </c>
      <c r="B346" s="75" t="s">
        <v>423</v>
      </c>
      <c r="C346" s="75" t="s">
        <v>442</v>
      </c>
      <c r="D346" s="75"/>
      <c r="E346" s="76">
        <f>E347</f>
        <v>561.2829999999999</v>
      </c>
    </row>
    <row r="347" spans="1:5" ht="31.5" x14ac:dyDescent="0.25">
      <c r="A347" s="77" t="s">
        <v>105</v>
      </c>
      <c r="B347" s="78" t="s">
        <v>423</v>
      </c>
      <c r="C347" s="78" t="s">
        <v>442</v>
      </c>
      <c r="D347" s="78" t="s">
        <v>106</v>
      </c>
      <c r="E347" s="79">
        <f>425-116.037+166.32+86</f>
        <v>561.2829999999999</v>
      </c>
    </row>
    <row r="348" spans="1:5" ht="15.75" x14ac:dyDescent="0.25">
      <c r="A348" s="74" t="s">
        <v>184</v>
      </c>
      <c r="B348" s="75" t="s">
        <v>423</v>
      </c>
      <c r="C348" s="75" t="s">
        <v>443</v>
      </c>
      <c r="D348" s="75"/>
      <c r="E348" s="76">
        <f>E349</f>
        <v>2676</v>
      </c>
    </row>
    <row r="349" spans="1:5" ht="31.5" x14ac:dyDescent="0.25">
      <c r="A349" s="77" t="s">
        <v>105</v>
      </c>
      <c r="B349" s="78" t="s">
        <v>423</v>
      </c>
      <c r="C349" s="78" t="s">
        <v>443</v>
      </c>
      <c r="D349" s="78" t="s">
        <v>106</v>
      </c>
      <c r="E349" s="79">
        <f>76+2600</f>
        <v>2676</v>
      </c>
    </row>
    <row r="350" spans="1:5" ht="47.25" x14ac:dyDescent="0.25">
      <c r="A350" s="74" t="s">
        <v>185</v>
      </c>
      <c r="B350" s="75" t="s">
        <v>423</v>
      </c>
      <c r="C350" s="75" t="s">
        <v>444</v>
      </c>
      <c r="D350" s="75"/>
      <c r="E350" s="76">
        <v>8218.5</v>
      </c>
    </row>
    <row r="351" spans="1:5" ht="31.5" x14ac:dyDescent="0.25">
      <c r="A351" s="77" t="s">
        <v>105</v>
      </c>
      <c r="B351" s="78" t="s">
        <v>423</v>
      </c>
      <c r="C351" s="78" t="s">
        <v>444</v>
      </c>
      <c r="D351" s="78" t="s">
        <v>106</v>
      </c>
      <c r="E351" s="79">
        <v>8218.5</v>
      </c>
    </row>
    <row r="352" spans="1:5" ht="15.75" x14ac:dyDescent="0.25">
      <c r="A352" s="74" t="s">
        <v>186</v>
      </c>
      <c r="B352" s="75" t="s">
        <v>423</v>
      </c>
      <c r="C352" s="75" t="s">
        <v>445</v>
      </c>
      <c r="D352" s="75"/>
      <c r="E352" s="76">
        <v>300</v>
      </c>
    </row>
    <row r="353" spans="1:5" ht="31.5" x14ac:dyDescent="0.25">
      <c r="A353" s="77" t="s">
        <v>105</v>
      </c>
      <c r="B353" s="78" t="s">
        <v>423</v>
      </c>
      <c r="C353" s="78" t="s">
        <v>445</v>
      </c>
      <c r="D353" s="78" t="s">
        <v>106</v>
      </c>
      <c r="E353" s="79">
        <v>300</v>
      </c>
    </row>
    <row r="354" spans="1:5" ht="15.75" x14ac:dyDescent="0.25">
      <c r="A354" s="74" t="s">
        <v>187</v>
      </c>
      <c r="B354" s="75" t="s">
        <v>423</v>
      </c>
      <c r="C354" s="75" t="s">
        <v>446</v>
      </c>
      <c r="D354" s="75"/>
      <c r="E354" s="76">
        <f>E355+E357+E359+E361+E363+E365</f>
        <v>24370.106</v>
      </c>
    </row>
    <row r="355" spans="1:5" ht="15.75" x14ac:dyDescent="0.25">
      <c r="A355" s="74" t="s">
        <v>188</v>
      </c>
      <c r="B355" s="75" t="s">
        <v>423</v>
      </c>
      <c r="C355" s="75" t="s">
        <v>447</v>
      </c>
      <c r="D355" s="75"/>
      <c r="E355" s="76">
        <v>500</v>
      </c>
    </row>
    <row r="356" spans="1:5" ht="15.75" x14ac:dyDescent="0.25">
      <c r="A356" s="77" t="s">
        <v>71</v>
      </c>
      <c r="B356" s="78" t="s">
        <v>423</v>
      </c>
      <c r="C356" s="78" t="s">
        <v>447</v>
      </c>
      <c r="D356" s="78" t="s">
        <v>8</v>
      </c>
      <c r="E356" s="79">
        <v>500</v>
      </c>
    </row>
    <row r="357" spans="1:5" ht="31.5" x14ac:dyDescent="0.25">
      <c r="A357" s="74" t="s">
        <v>189</v>
      </c>
      <c r="B357" s="75" t="s">
        <v>423</v>
      </c>
      <c r="C357" s="75" t="s">
        <v>448</v>
      </c>
      <c r="D357" s="75"/>
      <c r="E357" s="76">
        <v>1006.274</v>
      </c>
    </row>
    <row r="358" spans="1:5" ht="15.75" x14ac:dyDescent="0.25">
      <c r="A358" s="77" t="s">
        <v>71</v>
      </c>
      <c r="B358" s="78" t="s">
        <v>423</v>
      </c>
      <c r="C358" s="78" t="s">
        <v>448</v>
      </c>
      <c r="D358" s="78" t="s">
        <v>8</v>
      </c>
      <c r="E358" s="79">
        <v>1006.274</v>
      </c>
    </row>
    <row r="359" spans="1:5" ht="31.5" x14ac:dyDescent="0.25">
      <c r="A359" s="74" t="s">
        <v>174</v>
      </c>
      <c r="B359" s="75" t="s">
        <v>423</v>
      </c>
      <c r="C359" s="75" t="s">
        <v>449</v>
      </c>
      <c r="D359" s="75"/>
      <c r="E359" s="76">
        <f>E360</f>
        <v>18113.954999999998</v>
      </c>
    </row>
    <row r="360" spans="1:5" ht="31.5" x14ac:dyDescent="0.25">
      <c r="A360" s="77" t="s">
        <v>105</v>
      </c>
      <c r="B360" s="78" t="s">
        <v>423</v>
      </c>
      <c r="C360" s="78" t="s">
        <v>449</v>
      </c>
      <c r="D360" s="78" t="s">
        <v>106</v>
      </c>
      <c r="E360" s="79">
        <f>20621.67-2506.464-1.251</f>
        <v>18113.954999999998</v>
      </c>
    </row>
    <row r="361" spans="1:5" ht="31.5" x14ac:dyDescent="0.25">
      <c r="A361" s="74" t="s">
        <v>117</v>
      </c>
      <c r="B361" s="75" t="s">
        <v>423</v>
      </c>
      <c r="C361" s="75" t="s">
        <v>450</v>
      </c>
      <c r="D361" s="75"/>
      <c r="E361" s="76">
        <f>E362</f>
        <v>4074.66</v>
      </c>
    </row>
    <row r="362" spans="1:5" ht="31.5" x14ac:dyDescent="0.25">
      <c r="A362" s="77" t="s">
        <v>105</v>
      </c>
      <c r="B362" s="78" t="s">
        <v>423</v>
      </c>
      <c r="C362" s="78" t="s">
        <v>450</v>
      </c>
      <c r="D362" s="78" t="s">
        <v>106</v>
      </c>
      <c r="E362" s="79">
        <f>1568.196+2506.464</f>
        <v>4074.66</v>
      </c>
    </row>
    <row r="363" spans="1:5" ht="31.5" x14ac:dyDescent="0.25">
      <c r="A363" s="74" t="s">
        <v>124</v>
      </c>
      <c r="B363" s="75" t="s">
        <v>423</v>
      </c>
      <c r="C363" s="75" t="s">
        <v>451</v>
      </c>
      <c r="D363" s="75"/>
      <c r="E363" s="76">
        <v>8.5500000000000007</v>
      </c>
    </row>
    <row r="364" spans="1:5" ht="31.5" x14ac:dyDescent="0.25">
      <c r="A364" s="77" t="s">
        <v>105</v>
      </c>
      <c r="B364" s="78" t="s">
        <v>423</v>
      </c>
      <c r="C364" s="78" t="s">
        <v>451</v>
      </c>
      <c r="D364" s="78" t="s">
        <v>106</v>
      </c>
      <c r="E364" s="79">
        <v>8.5500000000000007</v>
      </c>
    </row>
    <row r="365" spans="1:5" ht="31.5" x14ac:dyDescent="0.25">
      <c r="A365" s="74" t="s">
        <v>190</v>
      </c>
      <c r="B365" s="75" t="s">
        <v>423</v>
      </c>
      <c r="C365" s="75" t="s">
        <v>452</v>
      </c>
      <c r="D365" s="75"/>
      <c r="E365" s="76">
        <v>666.66700000000003</v>
      </c>
    </row>
    <row r="366" spans="1:5" ht="31.5" x14ac:dyDescent="0.25">
      <c r="A366" s="77" t="s">
        <v>105</v>
      </c>
      <c r="B366" s="78" t="s">
        <v>423</v>
      </c>
      <c r="C366" s="78" t="s">
        <v>452</v>
      </c>
      <c r="D366" s="78" t="s">
        <v>106</v>
      </c>
      <c r="E366" s="79">
        <v>666.66700000000003</v>
      </c>
    </row>
    <row r="367" spans="1:5" ht="15.75" x14ac:dyDescent="0.25">
      <c r="A367" s="74" t="s">
        <v>191</v>
      </c>
      <c r="B367" s="75" t="s">
        <v>423</v>
      </c>
      <c r="C367" s="75" t="s">
        <v>453</v>
      </c>
      <c r="D367" s="75"/>
      <c r="E367" s="76">
        <f>E368+E370+E372</f>
        <v>1304.1659999999999</v>
      </c>
    </row>
    <row r="368" spans="1:5" ht="15.75" x14ac:dyDescent="0.25">
      <c r="A368" s="74" t="s">
        <v>192</v>
      </c>
      <c r="B368" s="75" t="s">
        <v>423</v>
      </c>
      <c r="C368" s="75" t="s">
        <v>454</v>
      </c>
      <c r="D368" s="75"/>
      <c r="E368" s="76">
        <f>E369</f>
        <v>15.600000000000009</v>
      </c>
    </row>
    <row r="369" spans="1:5" ht="31.5" x14ac:dyDescent="0.25">
      <c r="A369" s="77" t="s">
        <v>105</v>
      </c>
      <c r="B369" s="78" t="s">
        <v>423</v>
      </c>
      <c r="C369" s="78" t="s">
        <v>454</v>
      </c>
      <c r="D369" s="78" t="s">
        <v>106</v>
      </c>
      <c r="E369" s="79">
        <f>200-72.35-112.05</f>
        <v>15.600000000000009</v>
      </c>
    </row>
    <row r="370" spans="1:5" ht="15.75" x14ac:dyDescent="0.25">
      <c r="A370" s="74" t="s">
        <v>193</v>
      </c>
      <c r="B370" s="75" t="s">
        <v>423</v>
      </c>
      <c r="C370" s="75" t="s">
        <v>455</v>
      </c>
      <c r="D370" s="75"/>
      <c r="E370" s="76">
        <v>1143.5</v>
      </c>
    </row>
    <row r="371" spans="1:5" ht="31.5" x14ac:dyDescent="0.25">
      <c r="A371" s="77" t="s">
        <v>105</v>
      </c>
      <c r="B371" s="78" t="s">
        <v>423</v>
      </c>
      <c r="C371" s="78" t="s">
        <v>455</v>
      </c>
      <c r="D371" s="78" t="s">
        <v>106</v>
      </c>
      <c r="E371" s="79">
        <v>1143.5</v>
      </c>
    </row>
    <row r="372" spans="1:5" ht="15.75" x14ac:dyDescent="0.25">
      <c r="A372" s="74" t="s">
        <v>194</v>
      </c>
      <c r="B372" s="75" t="s">
        <v>423</v>
      </c>
      <c r="C372" s="75" t="s">
        <v>456</v>
      </c>
      <c r="D372" s="75"/>
      <c r="E372" s="76">
        <f>E373</f>
        <v>145.066</v>
      </c>
    </row>
    <row r="373" spans="1:5" ht="31.5" x14ac:dyDescent="0.25">
      <c r="A373" s="77" t="s">
        <v>105</v>
      </c>
      <c r="B373" s="78" t="s">
        <v>423</v>
      </c>
      <c r="C373" s="78" t="s">
        <v>456</v>
      </c>
      <c r="D373" s="78" t="s">
        <v>106</v>
      </c>
      <c r="E373" s="79">
        <f>156.65-11.584</f>
        <v>145.066</v>
      </c>
    </row>
    <row r="374" spans="1:5" ht="15.75" x14ac:dyDescent="0.25">
      <c r="A374" s="74" t="s">
        <v>195</v>
      </c>
      <c r="B374" s="75" t="s">
        <v>423</v>
      </c>
      <c r="C374" s="75" t="s">
        <v>457</v>
      </c>
      <c r="D374" s="75"/>
      <c r="E374" s="76">
        <f>E375</f>
        <v>20091.244000000002</v>
      </c>
    </row>
    <row r="375" spans="1:5" ht="15.75" x14ac:dyDescent="0.25">
      <c r="A375" s="74" t="s">
        <v>196</v>
      </c>
      <c r="B375" s="75" t="s">
        <v>423</v>
      </c>
      <c r="C375" s="75" t="s">
        <v>458</v>
      </c>
      <c r="D375" s="75"/>
      <c r="E375" s="76">
        <f>E376+E377+E378</f>
        <v>20091.244000000002</v>
      </c>
    </row>
    <row r="376" spans="1:5" ht="47.25" x14ac:dyDescent="0.25">
      <c r="A376" s="77" t="s">
        <v>29</v>
      </c>
      <c r="B376" s="78" t="s">
        <v>423</v>
      </c>
      <c r="C376" s="78" t="s">
        <v>458</v>
      </c>
      <c r="D376" s="78" t="s">
        <v>30</v>
      </c>
      <c r="E376" s="79">
        <f>16636.627+311.609+1428.97</f>
        <v>18377.206000000002</v>
      </c>
    </row>
    <row r="377" spans="1:5" ht="15.75" x14ac:dyDescent="0.25">
      <c r="A377" s="77" t="s">
        <v>33</v>
      </c>
      <c r="B377" s="78" t="s">
        <v>423</v>
      </c>
      <c r="C377" s="78" t="s">
        <v>458</v>
      </c>
      <c r="D377" s="78" t="s">
        <v>7</v>
      </c>
      <c r="E377" s="79">
        <f>20+1646.038+14.897</f>
        <v>1680.9349999999999</v>
      </c>
    </row>
    <row r="378" spans="1:5" ht="15.75" x14ac:dyDescent="0.25">
      <c r="A378" s="77" t="s">
        <v>43</v>
      </c>
      <c r="B378" s="78" t="s">
        <v>423</v>
      </c>
      <c r="C378" s="78" t="s">
        <v>458</v>
      </c>
      <c r="D378" s="78" t="s">
        <v>44</v>
      </c>
      <c r="E378" s="79">
        <f>48-14.897</f>
        <v>33.103000000000002</v>
      </c>
    </row>
    <row r="379" spans="1:5" ht="31.5" x14ac:dyDescent="0.25">
      <c r="A379" s="74" t="s">
        <v>90</v>
      </c>
      <c r="B379" s="75" t="s">
        <v>423</v>
      </c>
      <c r="C379" s="75" t="s">
        <v>340</v>
      </c>
      <c r="D379" s="75"/>
      <c r="E379" s="76">
        <v>16255.888000000001</v>
      </c>
    </row>
    <row r="380" spans="1:5" ht="15.75" x14ac:dyDescent="0.25">
      <c r="A380" s="74" t="s">
        <v>197</v>
      </c>
      <c r="B380" s="75" t="s">
        <v>423</v>
      </c>
      <c r="C380" s="75" t="s">
        <v>459</v>
      </c>
      <c r="D380" s="75"/>
      <c r="E380" s="76">
        <v>2387</v>
      </c>
    </row>
    <row r="381" spans="1:5" ht="47.25" x14ac:dyDescent="0.25">
      <c r="A381" s="74" t="s">
        <v>198</v>
      </c>
      <c r="B381" s="75" t="s">
        <v>423</v>
      </c>
      <c r="C381" s="75" t="s">
        <v>460</v>
      </c>
      <c r="D381" s="75"/>
      <c r="E381" s="76">
        <v>2387</v>
      </c>
    </row>
    <row r="382" spans="1:5" ht="15.75" x14ac:dyDescent="0.25">
      <c r="A382" s="77" t="s">
        <v>71</v>
      </c>
      <c r="B382" s="78" t="s">
        <v>423</v>
      </c>
      <c r="C382" s="78" t="s">
        <v>460</v>
      </c>
      <c r="D382" s="78" t="s">
        <v>8</v>
      </c>
      <c r="E382" s="79">
        <v>2387</v>
      </c>
    </row>
    <row r="383" spans="1:5" ht="15.75" x14ac:dyDescent="0.25">
      <c r="A383" s="74" t="s">
        <v>199</v>
      </c>
      <c r="B383" s="75" t="s">
        <v>423</v>
      </c>
      <c r="C383" s="75" t="s">
        <v>461</v>
      </c>
      <c r="D383" s="75"/>
      <c r="E383" s="76">
        <v>155</v>
      </c>
    </row>
    <row r="384" spans="1:5" ht="15.75" x14ac:dyDescent="0.25">
      <c r="A384" s="74" t="s">
        <v>200</v>
      </c>
      <c r="B384" s="75" t="s">
        <v>423</v>
      </c>
      <c r="C384" s="75" t="s">
        <v>462</v>
      </c>
      <c r="D384" s="75"/>
      <c r="E384" s="76">
        <v>155</v>
      </c>
    </row>
    <row r="385" spans="1:5" ht="31.5" x14ac:dyDescent="0.25">
      <c r="A385" s="77" t="s">
        <v>105</v>
      </c>
      <c r="B385" s="78" t="s">
        <v>423</v>
      </c>
      <c r="C385" s="78" t="s">
        <v>462</v>
      </c>
      <c r="D385" s="78" t="s">
        <v>106</v>
      </c>
      <c r="E385" s="79">
        <v>155</v>
      </c>
    </row>
    <row r="386" spans="1:5" ht="15.75" x14ac:dyDescent="0.25">
      <c r="A386" s="74" t="s">
        <v>91</v>
      </c>
      <c r="B386" s="75" t="s">
        <v>423</v>
      </c>
      <c r="C386" s="75" t="s">
        <v>399</v>
      </c>
      <c r="D386" s="75"/>
      <c r="E386" s="76">
        <f>E387</f>
        <v>9425.9770000000008</v>
      </c>
    </row>
    <row r="387" spans="1:5" ht="31.5" x14ac:dyDescent="0.25">
      <c r="A387" s="74" t="s">
        <v>201</v>
      </c>
      <c r="B387" s="75" t="s">
        <v>423</v>
      </c>
      <c r="C387" s="75" t="s">
        <v>463</v>
      </c>
      <c r="D387" s="75"/>
      <c r="E387" s="76">
        <f>E388</f>
        <v>9425.9770000000008</v>
      </c>
    </row>
    <row r="388" spans="1:5" ht="31.5" x14ac:dyDescent="0.25">
      <c r="A388" s="77" t="s">
        <v>105</v>
      </c>
      <c r="B388" s="78" t="s">
        <v>423</v>
      </c>
      <c r="C388" s="78" t="s">
        <v>463</v>
      </c>
      <c r="D388" s="78" t="s">
        <v>106</v>
      </c>
      <c r="E388" s="79">
        <f>9425.977</f>
        <v>9425.9770000000008</v>
      </c>
    </row>
    <row r="389" spans="1:5" ht="15.75" x14ac:dyDescent="0.25">
      <c r="A389" s="74" t="s">
        <v>93</v>
      </c>
      <c r="B389" s="75" t="s">
        <v>423</v>
      </c>
      <c r="C389" s="75" t="s">
        <v>341</v>
      </c>
      <c r="D389" s="75"/>
      <c r="E389" s="76">
        <v>4287.9110000000001</v>
      </c>
    </row>
    <row r="390" spans="1:5" ht="31.5" x14ac:dyDescent="0.25">
      <c r="A390" s="74" t="s">
        <v>94</v>
      </c>
      <c r="B390" s="75" t="s">
        <v>423</v>
      </c>
      <c r="C390" s="75" t="s">
        <v>342</v>
      </c>
      <c r="D390" s="75"/>
      <c r="E390" s="76">
        <v>4287.9110000000001</v>
      </c>
    </row>
    <row r="391" spans="1:5" ht="31.5" x14ac:dyDescent="0.25">
      <c r="A391" s="74" t="s">
        <v>124</v>
      </c>
      <c r="B391" s="75" t="s">
        <v>423</v>
      </c>
      <c r="C391" s="75" t="s">
        <v>343</v>
      </c>
      <c r="D391" s="75"/>
      <c r="E391" s="76">
        <v>4287.9110000000001</v>
      </c>
    </row>
    <row r="392" spans="1:5" ht="31.5" x14ac:dyDescent="0.25">
      <c r="A392" s="77" t="s">
        <v>105</v>
      </c>
      <c r="B392" s="78" t="s">
        <v>423</v>
      </c>
      <c r="C392" s="78" t="s">
        <v>343</v>
      </c>
      <c r="D392" s="78" t="s">
        <v>106</v>
      </c>
      <c r="E392" s="79">
        <v>4287.9110000000001</v>
      </c>
    </row>
    <row r="393" spans="1:5" ht="15.75" x14ac:dyDescent="0.25">
      <c r="A393" s="74" t="s">
        <v>23</v>
      </c>
      <c r="B393" s="75" t="s">
        <v>423</v>
      </c>
      <c r="C393" s="75" t="s">
        <v>24</v>
      </c>
      <c r="D393" s="75"/>
      <c r="E393" s="76">
        <f>E394</f>
        <v>1781.5</v>
      </c>
    </row>
    <row r="394" spans="1:5" ht="15.75" x14ac:dyDescent="0.25">
      <c r="A394" s="74" t="s">
        <v>25</v>
      </c>
      <c r="B394" s="75" t="s">
        <v>423</v>
      </c>
      <c r="C394" s="75" t="s">
        <v>26</v>
      </c>
      <c r="D394" s="75"/>
      <c r="E394" s="76">
        <f>E395+E398</f>
        <v>1781.5</v>
      </c>
    </row>
    <row r="395" spans="1:5" ht="63" x14ac:dyDescent="0.25">
      <c r="A395" s="74" t="s">
        <v>415</v>
      </c>
      <c r="B395" s="75" t="s">
        <v>423</v>
      </c>
      <c r="C395" s="75" t="s">
        <v>416</v>
      </c>
      <c r="D395" s="75"/>
      <c r="E395" s="76">
        <f>E396+E397</f>
        <v>43.6</v>
      </c>
    </row>
    <row r="396" spans="1:5" ht="47.25" x14ac:dyDescent="0.25">
      <c r="A396" s="77" t="s">
        <v>29</v>
      </c>
      <c r="B396" s="78" t="s">
        <v>423</v>
      </c>
      <c r="C396" s="78" t="s">
        <v>416</v>
      </c>
      <c r="D396" s="78" t="s">
        <v>30</v>
      </c>
      <c r="E396" s="79">
        <v>31.126000000000001</v>
      </c>
    </row>
    <row r="397" spans="1:5" ht="15.75" x14ac:dyDescent="0.25">
      <c r="A397" s="77" t="s">
        <v>33</v>
      </c>
      <c r="B397" s="78" t="s">
        <v>423</v>
      </c>
      <c r="C397" s="78" t="s">
        <v>416</v>
      </c>
      <c r="D397" s="78" t="s">
        <v>7</v>
      </c>
      <c r="E397" s="79">
        <f>8.974+3.5</f>
        <v>12.474</v>
      </c>
    </row>
    <row r="398" spans="1:5" ht="63" x14ac:dyDescent="0.25">
      <c r="A398" s="81" t="s">
        <v>202</v>
      </c>
      <c r="B398" s="75" t="s">
        <v>423</v>
      </c>
      <c r="C398" s="75" t="s">
        <v>464</v>
      </c>
      <c r="D398" s="75"/>
      <c r="E398" s="76">
        <f>E399+E400</f>
        <v>1737.9</v>
      </c>
    </row>
    <row r="399" spans="1:5" ht="47.25" x14ac:dyDescent="0.25">
      <c r="A399" s="77" t="s">
        <v>29</v>
      </c>
      <c r="B399" s="78" t="s">
        <v>423</v>
      </c>
      <c r="C399" s="78" t="s">
        <v>464</v>
      </c>
      <c r="D399" s="78" t="s">
        <v>30</v>
      </c>
      <c r="E399" s="79">
        <f>1456.125+131.775</f>
        <v>1587.9</v>
      </c>
    </row>
    <row r="400" spans="1:5" ht="15.75" x14ac:dyDescent="0.25">
      <c r="A400" s="77" t="s">
        <v>33</v>
      </c>
      <c r="B400" s="78" t="s">
        <v>423</v>
      </c>
      <c r="C400" s="78" t="s">
        <v>464</v>
      </c>
      <c r="D400" s="78" t="s">
        <v>7</v>
      </c>
      <c r="E400" s="79">
        <f>150</f>
        <v>150</v>
      </c>
    </row>
    <row r="401" spans="1:5" ht="31.5" x14ac:dyDescent="0.25">
      <c r="A401" s="71" t="s">
        <v>203</v>
      </c>
      <c r="B401" s="72" t="s">
        <v>204</v>
      </c>
      <c r="C401" s="72"/>
      <c r="D401" s="72"/>
      <c r="E401" s="73">
        <f>E402+E417</f>
        <v>68859.521999999997</v>
      </c>
    </row>
    <row r="402" spans="1:5" ht="31.5" x14ac:dyDescent="0.25">
      <c r="A402" s="74" t="s">
        <v>79</v>
      </c>
      <c r="B402" s="75" t="s">
        <v>204</v>
      </c>
      <c r="C402" s="75" t="s">
        <v>80</v>
      </c>
      <c r="D402" s="75"/>
      <c r="E402" s="76">
        <f>E403</f>
        <v>67114.822</v>
      </c>
    </row>
    <row r="403" spans="1:5" ht="15.75" x14ac:dyDescent="0.25">
      <c r="A403" s="74" t="s">
        <v>205</v>
      </c>
      <c r="B403" s="75" t="s">
        <v>204</v>
      </c>
      <c r="C403" s="75" t="s">
        <v>206</v>
      </c>
      <c r="D403" s="75"/>
      <c r="E403" s="76">
        <f>E404+E407+E409+E415</f>
        <v>67114.822</v>
      </c>
    </row>
    <row r="404" spans="1:5" ht="31.5" x14ac:dyDescent="0.25">
      <c r="A404" s="74" t="s">
        <v>207</v>
      </c>
      <c r="B404" s="75" t="s">
        <v>204</v>
      </c>
      <c r="C404" s="75" t="s">
        <v>208</v>
      </c>
      <c r="D404" s="75"/>
      <c r="E404" s="76">
        <v>595.9</v>
      </c>
    </row>
    <row r="405" spans="1:5" ht="31.5" x14ac:dyDescent="0.25">
      <c r="A405" s="74" t="s">
        <v>207</v>
      </c>
      <c r="B405" s="75" t="s">
        <v>204</v>
      </c>
      <c r="C405" s="75" t="s">
        <v>209</v>
      </c>
      <c r="D405" s="75"/>
      <c r="E405" s="76">
        <v>595.9</v>
      </c>
    </row>
    <row r="406" spans="1:5" ht="15.75" x14ac:dyDescent="0.25">
      <c r="A406" s="77" t="s">
        <v>46</v>
      </c>
      <c r="B406" s="78" t="s">
        <v>204</v>
      </c>
      <c r="C406" s="78" t="s">
        <v>209</v>
      </c>
      <c r="D406" s="78" t="s">
        <v>47</v>
      </c>
      <c r="E406" s="79">
        <v>595.9</v>
      </c>
    </row>
    <row r="407" spans="1:5" ht="15.75" x14ac:dyDescent="0.25">
      <c r="A407" s="74" t="s">
        <v>210</v>
      </c>
      <c r="B407" s="75" t="s">
        <v>204</v>
      </c>
      <c r="C407" s="75" t="s">
        <v>211</v>
      </c>
      <c r="D407" s="75"/>
      <c r="E407" s="76">
        <f>E408</f>
        <v>45052.334000000003</v>
      </c>
    </row>
    <row r="408" spans="1:5" ht="15.75" x14ac:dyDescent="0.25">
      <c r="A408" s="77" t="s">
        <v>46</v>
      </c>
      <c r="B408" s="78" t="s">
        <v>204</v>
      </c>
      <c r="C408" s="78" t="s">
        <v>211</v>
      </c>
      <c r="D408" s="78" t="s">
        <v>47</v>
      </c>
      <c r="E408" s="79">
        <f>8966.3+29646.688+1216.334+1600+700.5+315+2607.512</f>
        <v>45052.334000000003</v>
      </c>
    </row>
    <row r="409" spans="1:5" ht="15.75" x14ac:dyDescent="0.25">
      <c r="A409" s="74" t="s">
        <v>212</v>
      </c>
      <c r="B409" s="75" t="s">
        <v>204</v>
      </c>
      <c r="C409" s="75" t="s">
        <v>213</v>
      </c>
      <c r="D409" s="75"/>
      <c r="E409" s="76">
        <f>E410+E411+E412+E414</f>
        <v>13789.588</v>
      </c>
    </row>
    <row r="410" spans="1:5" ht="47.25" x14ac:dyDescent="0.25">
      <c r="A410" s="77" t="s">
        <v>29</v>
      </c>
      <c r="B410" s="78" t="s">
        <v>204</v>
      </c>
      <c r="C410" s="78" t="s">
        <v>213</v>
      </c>
      <c r="D410" s="78" t="s">
        <v>30</v>
      </c>
      <c r="E410" s="79">
        <f>11245.363+741.275+1286.815-55.45</f>
        <v>13218.002999999999</v>
      </c>
    </row>
    <row r="411" spans="1:5" ht="15.75" x14ac:dyDescent="0.25">
      <c r="A411" s="77" t="s">
        <v>33</v>
      </c>
      <c r="B411" s="78" t="s">
        <v>204</v>
      </c>
      <c r="C411" s="78" t="s">
        <v>213</v>
      </c>
      <c r="D411" s="78" t="s">
        <v>7</v>
      </c>
      <c r="E411" s="79">
        <v>551.34199999999998</v>
      </c>
    </row>
    <row r="412" spans="1:5" ht="15.75" x14ac:dyDescent="0.25">
      <c r="A412" s="77" t="s">
        <v>43</v>
      </c>
      <c r="B412" s="78" t="s">
        <v>204</v>
      </c>
      <c r="C412" s="78" t="s">
        <v>213</v>
      </c>
      <c r="D412" s="78" t="s">
        <v>44</v>
      </c>
      <c r="E412" s="79">
        <f>-1+2.23</f>
        <v>1.23</v>
      </c>
    </row>
    <row r="413" spans="1:5" ht="31.5" x14ac:dyDescent="0.25">
      <c r="A413" s="74" t="s">
        <v>31</v>
      </c>
      <c r="B413" s="75" t="s">
        <v>204</v>
      </c>
      <c r="C413" s="75" t="s">
        <v>214</v>
      </c>
      <c r="D413" s="75"/>
      <c r="E413" s="76">
        <v>19.013000000000002</v>
      </c>
    </row>
    <row r="414" spans="1:5" ht="15.75" x14ac:dyDescent="0.25">
      <c r="A414" s="77" t="s">
        <v>33</v>
      </c>
      <c r="B414" s="78" t="s">
        <v>204</v>
      </c>
      <c r="C414" s="78" t="s">
        <v>214</v>
      </c>
      <c r="D414" s="78" t="s">
        <v>7</v>
      </c>
      <c r="E414" s="79">
        <v>19.013000000000002</v>
      </c>
    </row>
    <row r="415" spans="1:5" ht="31.5" x14ac:dyDescent="0.25">
      <c r="A415" s="74" t="s">
        <v>215</v>
      </c>
      <c r="B415" s="75" t="s">
        <v>204</v>
      </c>
      <c r="C415" s="75" t="s">
        <v>216</v>
      </c>
      <c r="D415" s="75"/>
      <c r="E415" s="76">
        <v>7677</v>
      </c>
    </row>
    <row r="416" spans="1:5" ht="15.75" x14ac:dyDescent="0.25">
      <c r="A416" s="77" t="s">
        <v>46</v>
      </c>
      <c r="B416" s="78" t="s">
        <v>204</v>
      </c>
      <c r="C416" s="78" t="s">
        <v>216</v>
      </c>
      <c r="D416" s="78" t="s">
        <v>47</v>
      </c>
      <c r="E416" s="79">
        <v>7677</v>
      </c>
    </row>
    <row r="417" spans="1:5" ht="15.75" x14ac:dyDescent="0.25">
      <c r="A417" s="74" t="s">
        <v>23</v>
      </c>
      <c r="B417" s="75" t="s">
        <v>204</v>
      </c>
      <c r="C417" s="75" t="s">
        <v>24</v>
      </c>
      <c r="D417" s="75"/>
      <c r="E417" s="76">
        <f>E418</f>
        <v>1744.7</v>
      </c>
    </row>
    <row r="418" spans="1:5" ht="15.75" x14ac:dyDescent="0.25">
      <c r="A418" s="74" t="s">
        <v>25</v>
      </c>
      <c r="B418" s="75" t="s">
        <v>204</v>
      </c>
      <c r="C418" s="75" t="s">
        <v>26</v>
      </c>
      <c r="D418" s="75"/>
      <c r="E418" s="76">
        <f>E419+E421+E423+E425+E427+E429+E431</f>
        <v>1744.7</v>
      </c>
    </row>
    <row r="419" spans="1:5" ht="31.5" x14ac:dyDescent="0.25">
      <c r="A419" s="74" t="s">
        <v>217</v>
      </c>
      <c r="B419" s="75" t="s">
        <v>204</v>
      </c>
      <c r="C419" s="75" t="s">
        <v>218</v>
      </c>
      <c r="D419" s="75"/>
      <c r="E419" s="76">
        <v>1281.9000000000001</v>
      </c>
    </row>
    <row r="420" spans="1:5" ht="15.75" x14ac:dyDescent="0.25">
      <c r="A420" s="77" t="s">
        <v>46</v>
      </c>
      <c r="B420" s="78" t="s">
        <v>204</v>
      </c>
      <c r="C420" s="78" t="s">
        <v>218</v>
      </c>
      <c r="D420" s="78" t="s">
        <v>47</v>
      </c>
      <c r="E420" s="79">
        <v>1281.9000000000001</v>
      </c>
    </row>
    <row r="421" spans="1:5" ht="31.5" x14ac:dyDescent="0.25">
      <c r="A421" s="74" t="s">
        <v>219</v>
      </c>
      <c r="B421" s="75" t="s">
        <v>204</v>
      </c>
      <c r="C421" s="75" t="s">
        <v>220</v>
      </c>
      <c r="D421" s="75"/>
      <c r="E421" s="76">
        <v>49.5</v>
      </c>
    </row>
    <row r="422" spans="1:5" ht="15.75" x14ac:dyDescent="0.25">
      <c r="A422" s="77" t="s">
        <v>46</v>
      </c>
      <c r="B422" s="78" t="s">
        <v>204</v>
      </c>
      <c r="C422" s="78" t="s">
        <v>220</v>
      </c>
      <c r="D422" s="78" t="s">
        <v>47</v>
      </c>
      <c r="E422" s="79">
        <v>49.5</v>
      </c>
    </row>
    <row r="423" spans="1:5" ht="63" x14ac:dyDescent="0.25">
      <c r="A423" s="81" t="s">
        <v>221</v>
      </c>
      <c r="B423" s="75" t="s">
        <v>204</v>
      </c>
      <c r="C423" s="75" t="s">
        <v>222</v>
      </c>
      <c r="D423" s="75"/>
      <c r="E423" s="76">
        <v>2.5</v>
      </c>
    </row>
    <row r="424" spans="1:5" ht="15.75" x14ac:dyDescent="0.25">
      <c r="A424" s="77" t="s">
        <v>33</v>
      </c>
      <c r="B424" s="78" t="s">
        <v>204</v>
      </c>
      <c r="C424" s="78" t="s">
        <v>222</v>
      </c>
      <c r="D424" s="78" t="s">
        <v>7</v>
      </c>
      <c r="E424" s="79">
        <v>2.5</v>
      </c>
    </row>
    <row r="425" spans="1:5" ht="126" x14ac:dyDescent="0.25">
      <c r="A425" s="81" t="s">
        <v>223</v>
      </c>
      <c r="B425" s="75" t="s">
        <v>204</v>
      </c>
      <c r="C425" s="75" t="s">
        <v>224</v>
      </c>
      <c r="D425" s="75"/>
      <c r="E425" s="76">
        <v>4</v>
      </c>
    </row>
    <row r="426" spans="1:5" ht="15.75" x14ac:dyDescent="0.25">
      <c r="A426" s="77" t="s">
        <v>33</v>
      </c>
      <c r="B426" s="78" t="s">
        <v>204</v>
      </c>
      <c r="C426" s="78" t="s">
        <v>224</v>
      </c>
      <c r="D426" s="78" t="s">
        <v>7</v>
      </c>
      <c r="E426" s="79">
        <v>4</v>
      </c>
    </row>
    <row r="427" spans="1:5" ht="78.75" x14ac:dyDescent="0.25">
      <c r="A427" s="81" t="s">
        <v>111</v>
      </c>
      <c r="B427" s="75" t="s">
        <v>204</v>
      </c>
      <c r="C427" s="75" t="s">
        <v>112</v>
      </c>
      <c r="D427" s="75"/>
      <c r="E427" s="76">
        <f>E428</f>
        <v>166.6</v>
      </c>
    </row>
    <row r="428" spans="1:5" ht="15.75" x14ac:dyDescent="0.25">
      <c r="A428" s="77" t="s">
        <v>46</v>
      </c>
      <c r="B428" s="78" t="s">
        <v>204</v>
      </c>
      <c r="C428" s="78" t="s">
        <v>112</v>
      </c>
      <c r="D428" s="78" t="s">
        <v>47</v>
      </c>
      <c r="E428" s="79">
        <f>159.548+7.052</f>
        <v>166.6</v>
      </c>
    </row>
    <row r="429" spans="1:5" ht="78.75" x14ac:dyDescent="0.25">
      <c r="A429" s="81" t="s">
        <v>225</v>
      </c>
      <c r="B429" s="75" t="s">
        <v>204</v>
      </c>
      <c r="C429" s="75" t="s">
        <v>226</v>
      </c>
      <c r="D429" s="75"/>
      <c r="E429" s="76">
        <v>9</v>
      </c>
    </row>
    <row r="430" spans="1:5" ht="15.75" x14ac:dyDescent="0.25">
      <c r="A430" s="77" t="s">
        <v>33</v>
      </c>
      <c r="B430" s="78" t="s">
        <v>204</v>
      </c>
      <c r="C430" s="78" t="s">
        <v>226</v>
      </c>
      <c r="D430" s="78" t="s">
        <v>7</v>
      </c>
      <c r="E430" s="79">
        <v>9</v>
      </c>
    </row>
    <row r="431" spans="1:5" ht="15.75" x14ac:dyDescent="0.25">
      <c r="A431" s="74" t="s">
        <v>38</v>
      </c>
      <c r="B431" s="75" t="s">
        <v>204</v>
      </c>
      <c r="C431" s="75" t="s">
        <v>39</v>
      </c>
      <c r="D431" s="75"/>
      <c r="E431" s="76">
        <v>231.2</v>
      </c>
    </row>
    <row r="432" spans="1:5" ht="15.75" x14ac:dyDescent="0.25">
      <c r="A432" s="77" t="s">
        <v>43</v>
      </c>
      <c r="B432" s="78" t="s">
        <v>204</v>
      </c>
      <c r="C432" s="78" t="s">
        <v>39</v>
      </c>
      <c r="D432" s="78" t="s">
        <v>44</v>
      </c>
      <c r="E432" s="79">
        <v>231.2</v>
      </c>
    </row>
  </sheetData>
  <autoFilter ref="A14:E432"/>
  <mergeCells count="14">
    <mergeCell ref="E14:E15"/>
    <mergeCell ref="A7:E7"/>
    <mergeCell ref="A8:E8"/>
    <mergeCell ref="A9:E9"/>
    <mergeCell ref="A11:E11"/>
    <mergeCell ref="A14:A15"/>
    <mergeCell ref="B14:B15"/>
    <mergeCell ref="C14:C15"/>
    <mergeCell ref="D14:D15"/>
    <mergeCell ref="A1:E1"/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scale="56" fitToHeight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32"/>
  <sheetViews>
    <sheetView view="pageBreakPreview" topLeftCell="A19" zoomScaleNormal="100" zoomScaleSheetLayoutView="100" workbookViewId="0">
      <selection activeCell="D39" sqref="D39"/>
    </sheetView>
  </sheetViews>
  <sheetFormatPr defaultRowHeight="18.75" x14ac:dyDescent="0.3"/>
  <cols>
    <col min="1" max="1" width="108.140625" style="85" customWidth="1"/>
    <col min="2" max="2" width="27" style="85" customWidth="1"/>
    <col min="3" max="3" width="12.85546875" style="85" customWidth="1"/>
    <col min="4" max="4" width="26.85546875" style="85" customWidth="1"/>
    <col min="5" max="5" width="9.140625" style="85"/>
    <col min="6" max="6" width="11.28515625" style="85" bestFit="1" customWidth="1"/>
    <col min="7" max="16384" width="9.140625" style="85"/>
  </cols>
  <sheetData>
    <row r="1" spans="1:6" x14ac:dyDescent="0.3">
      <c r="A1" s="238" t="s">
        <v>503</v>
      </c>
      <c r="B1" s="238"/>
      <c r="C1" s="238"/>
      <c r="D1" s="238"/>
    </row>
    <row r="2" spans="1:6" x14ac:dyDescent="0.3">
      <c r="A2" s="238" t="s">
        <v>14</v>
      </c>
      <c r="B2" s="238"/>
      <c r="C2" s="238"/>
      <c r="D2" s="238"/>
    </row>
    <row r="3" spans="1:6" x14ac:dyDescent="0.3">
      <c r="A3" s="238" t="s">
        <v>228</v>
      </c>
      <c r="B3" s="238"/>
      <c r="C3" s="238"/>
      <c r="D3" s="238"/>
    </row>
    <row r="4" spans="1:6" x14ac:dyDescent="0.3">
      <c r="A4" s="238" t="str">
        <f>'Прил 1 (Доходы)'!A4:C4</f>
        <v>от 28 ноября 2019 г. № 36</v>
      </c>
      <c r="B4" s="238"/>
      <c r="C4" s="238"/>
      <c r="D4" s="238"/>
    </row>
    <row r="5" spans="1:6" x14ac:dyDescent="0.3">
      <c r="B5" s="6"/>
      <c r="C5" s="6"/>
      <c r="D5" s="7"/>
    </row>
    <row r="6" spans="1:6" x14ac:dyDescent="0.3">
      <c r="A6" s="238" t="s">
        <v>287</v>
      </c>
      <c r="B6" s="238"/>
      <c r="C6" s="238"/>
      <c r="D6" s="238"/>
    </row>
    <row r="7" spans="1:6" x14ac:dyDescent="0.3">
      <c r="A7" s="238" t="s">
        <v>14</v>
      </c>
      <c r="B7" s="238"/>
      <c r="C7" s="238"/>
      <c r="D7" s="238"/>
    </row>
    <row r="8" spans="1:6" x14ac:dyDescent="0.3">
      <c r="A8" s="238" t="s">
        <v>228</v>
      </c>
      <c r="B8" s="238"/>
      <c r="C8" s="238"/>
      <c r="D8" s="238"/>
    </row>
    <row r="9" spans="1:6" x14ac:dyDescent="0.3">
      <c r="A9" s="238" t="s">
        <v>230</v>
      </c>
      <c r="B9" s="238"/>
      <c r="C9" s="238"/>
      <c r="D9" s="238"/>
    </row>
    <row r="10" spans="1:6" x14ac:dyDescent="0.3">
      <c r="A10" s="56"/>
      <c r="B10" s="56"/>
      <c r="C10" s="56"/>
      <c r="D10" s="56"/>
    </row>
    <row r="11" spans="1:6" x14ac:dyDescent="0.3">
      <c r="A11" s="243" t="s">
        <v>288</v>
      </c>
      <c r="B11" s="243"/>
      <c r="C11" s="243"/>
      <c r="D11" s="243"/>
    </row>
    <row r="12" spans="1:6" x14ac:dyDescent="0.3">
      <c r="A12" s="56"/>
      <c r="B12" s="56"/>
      <c r="C12" s="56"/>
      <c r="D12" s="6" t="s">
        <v>0</v>
      </c>
    </row>
    <row r="13" spans="1:6" ht="37.5" x14ac:dyDescent="0.3">
      <c r="A13" s="83" t="s">
        <v>289</v>
      </c>
      <c r="B13" s="83" t="s">
        <v>290</v>
      </c>
      <c r="C13" s="83" t="s">
        <v>291</v>
      </c>
      <c r="D13" s="83" t="s">
        <v>292</v>
      </c>
    </row>
    <row r="14" spans="1:6" s="86" customFormat="1" ht="11.25" x14ac:dyDescent="0.2">
      <c r="A14" s="84" t="s">
        <v>1</v>
      </c>
      <c r="B14" s="84" t="s">
        <v>2</v>
      </c>
      <c r="C14" s="84" t="s">
        <v>3</v>
      </c>
      <c r="D14" s="84" t="s">
        <v>4</v>
      </c>
    </row>
    <row r="15" spans="1:6" s="118" customFormat="1" ht="15.75" x14ac:dyDescent="0.25">
      <c r="A15" s="244" t="s">
        <v>293</v>
      </c>
      <c r="B15" s="244"/>
      <c r="C15" s="244"/>
      <c r="D15" s="117">
        <f>D16+D43+D73+D117+D189+D254+D268+D306+D336+D346</f>
        <v>810398.44885000016</v>
      </c>
      <c r="F15" s="127"/>
    </row>
    <row r="16" spans="1:6" s="118" customFormat="1" ht="15.75" x14ac:dyDescent="0.25">
      <c r="A16" s="101" t="s">
        <v>40</v>
      </c>
      <c r="B16" s="102" t="s">
        <v>346</v>
      </c>
      <c r="C16" s="102"/>
      <c r="D16" s="103">
        <v>3778.9009999999998</v>
      </c>
    </row>
    <row r="17" spans="1:14" s="90" customFormat="1" ht="15.75" x14ac:dyDescent="0.25">
      <c r="A17" s="119" t="s">
        <v>41</v>
      </c>
      <c r="B17" s="120" t="s">
        <v>347</v>
      </c>
      <c r="C17" s="120"/>
      <c r="D17" s="121">
        <f>2883.89633-20.60557</f>
        <v>2863.2907599999999</v>
      </c>
    </row>
    <row r="18" spans="1:14" s="112" customFormat="1" ht="31.5" x14ac:dyDescent="0.25">
      <c r="A18" s="93" t="s">
        <v>42</v>
      </c>
      <c r="B18" s="94" t="s">
        <v>348</v>
      </c>
      <c r="C18" s="94"/>
      <c r="D18" s="95">
        <v>134.5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1:14" s="111" customFormat="1" ht="47.25" x14ac:dyDescent="0.25">
      <c r="A19" s="96" t="s">
        <v>349</v>
      </c>
      <c r="B19" s="94" t="s">
        <v>350</v>
      </c>
      <c r="C19" s="94"/>
      <c r="D19" s="95">
        <v>134.5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 s="114" customFormat="1" ht="15.75" x14ac:dyDescent="0.25">
      <c r="A20" s="97" t="s">
        <v>43</v>
      </c>
      <c r="B20" s="98" t="s">
        <v>350</v>
      </c>
      <c r="C20" s="98" t="s">
        <v>44</v>
      </c>
      <c r="D20" s="99">
        <v>134.5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s="113" customFormat="1" ht="31.5" x14ac:dyDescent="0.25">
      <c r="A21" s="93" t="s">
        <v>45</v>
      </c>
      <c r="B21" s="94" t="s">
        <v>351</v>
      </c>
      <c r="C21" s="94"/>
      <c r="D21" s="95">
        <v>300</v>
      </c>
    </row>
    <row r="22" spans="1:14" s="113" customFormat="1" ht="15.75" x14ac:dyDescent="0.25">
      <c r="A22" s="100" t="s">
        <v>43</v>
      </c>
      <c r="B22" s="98" t="s">
        <v>351</v>
      </c>
      <c r="C22" s="98" t="s">
        <v>44</v>
      </c>
      <c r="D22" s="99">
        <v>300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</row>
    <row r="23" spans="1:14" s="87" customFormat="1" ht="47.25" x14ac:dyDescent="0.25">
      <c r="A23" s="115" t="s">
        <v>487</v>
      </c>
      <c r="B23" s="116" t="s">
        <v>488</v>
      </c>
      <c r="C23" s="98"/>
      <c r="D23" s="99">
        <v>120.49299999999999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1:14" s="88" customFormat="1" ht="15.75" x14ac:dyDescent="0.25">
      <c r="A24" s="100" t="s">
        <v>46</v>
      </c>
      <c r="B24" s="116" t="s">
        <v>488</v>
      </c>
      <c r="C24" s="98" t="s">
        <v>47</v>
      </c>
      <c r="D24" s="99">
        <v>120.49299999999999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4" s="87" customFormat="1" ht="31.5" x14ac:dyDescent="0.25">
      <c r="A25" s="93" t="s">
        <v>352</v>
      </c>
      <c r="B25" s="94" t="s">
        <v>353</v>
      </c>
      <c r="C25" s="94"/>
      <c r="D25" s="95">
        <f>D26</f>
        <v>2028.7907600000001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1:14" s="88" customFormat="1" ht="15.75" x14ac:dyDescent="0.25">
      <c r="A26" s="100" t="s">
        <v>43</v>
      </c>
      <c r="B26" s="98" t="s">
        <v>353</v>
      </c>
      <c r="C26" s="98" t="s">
        <v>44</v>
      </c>
      <c r="D26" s="99">
        <f>-20.60557+2049.39633</f>
        <v>2028.7907600000001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 s="87" customFormat="1" ht="47.25" x14ac:dyDescent="0.25">
      <c r="A27" s="93" t="s">
        <v>354</v>
      </c>
      <c r="B27" s="94" t="s">
        <v>355</v>
      </c>
      <c r="C27" s="94"/>
      <c r="D27" s="95">
        <v>279.50700000000001</v>
      </c>
    </row>
    <row r="28" spans="1:14" s="87" customFormat="1" ht="15.75" x14ac:dyDescent="0.25">
      <c r="A28" s="100" t="s">
        <v>46</v>
      </c>
      <c r="B28" s="98" t="s">
        <v>355</v>
      </c>
      <c r="C28" s="98" t="s">
        <v>47</v>
      </c>
      <c r="D28" s="99">
        <v>279.50700000000001</v>
      </c>
    </row>
    <row r="29" spans="1:14" s="87" customFormat="1" ht="15.75" x14ac:dyDescent="0.25">
      <c r="A29" s="104" t="s">
        <v>491</v>
      </c>
      <c r="B29" s="105" t="s">
        <v>490</v>
      </c>
      <c r="C29" s="122"/>
      <c r="D29" s="59">
        <f>D30</f>
        <v>20.60557</v>
      </c>
    </row>
    <row r="30" spans="1:14" s="87" customFormat="1" ht="31.5" x14ac:dyDescent="0.25">
      <c r="A30" s="57" t="s">
        <v>492</v>
      </c>
      <c r="B30" s="123" t="s">
        <v>493</v>
      </c>
      <c r="C30" s="122"/>
      <c r="D30" s="59">
        <f>D31</f>
        <v>20.60557</v>
      </c>
    </row>
    <row r="31" spans="1:14" s="87" customFormat="1" ht="15.75" x14ac:dyDescent="0.25">
      <c r="A31" s="126" t="s">
        <v>33</v>
      </c>
      <c r="B31" s="123" t="s">
        <v>493</v>
      </c>
      <c r="C31" s="58" t="s">
        <v>7</v>
      </c>
      <c r="D31" s="59">
        <v>20.60557</v>
      </c>
    </row>
    <row r="32" spans="1:14" s="87" customFormat="1" ht="31.5" x14ac:dyDescent="0.25">
      <c r="A32" s="93" t="s">
        <v>48</v>
      </c>
      <c r="B32" s="94" t="s">
        <v>356</v>
      </c>
      <c r="C32" s="94"/>
      <c r="D32" s="95">
        <v>571.42899999999997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4" s="88" customFormat="1" ht="15.75" x14ac:dyDescent="0.25">
      <c r="A33" s="93" t="s">
        <v>49</v>
      </c>
      <c r="B33" s="94" t="s">
        <v>357</v>
      </c>
      <c r="C33" s="94"/>
      <c r="D33" s="95">
        <v>571.42899999999997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1:14" s="87" customFormat="1" ht="31.5" x14ac:dyDescent="0.25">
      <c r="A34" s="93" t="s">
        <v>358</v>
      </c>
      <c r="B34" s="94" t="s">
        <v>359</v>
      </c>
      <c r="C34" s="94"/>
      <c r="D34" s="95">
        <v>571.42899999999997</v>
      </c>
    </row>
    <row r="35" spans="1:14" s="87" customFormat="1" ht="15.75" x14ac:dyDescent="0.25">
      <c r="A35" s="100" t="s">
        <v>43</v>
      </c>
      <c r="B35" s="98" t="s">
        <v>359</v>
      </c>
      <c r="C35" s="98" t="s">
        <v>44</v>
      </c>
      <c r="D35" s="99">
        <v>571.42899999999997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spans="1:14" s="88" customFormat="1" ht="15.75" x14ac:dyDescent="0.25">
      <c r="A36" s="93" t="s">
        <v>50</v>
      </c>
      <c r="B36" s="94" t="s">
        <v>360</v>
      </c>
      <c r="C36" s="94"/>
      <c r="D36" s="95">
        <v>150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</row>
    <row r="37" spans="1:14" s="87" customFormat="1" ht="31.5" x14ac:dyDescent="0.25">
      <c r="A37" s="93" t="s">
        <v>361</v>
      </c>
      <c r="B37" s="94" t="s">
        <v>362</v>
      </c>
      <c r="C37" s="94"/>
      <c r="D37" s="95">
        <v>150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spans="1:14" s="88" customFormat="1" ht="15.75" x14ac:dyDescent="0.25">
      <c r="A38" s="100" t="s">
        <v>43</v>
      </c>
      <c r="B38" s="98" t="s">
        <v>362</v>
      </c>
      <c r="C38" s="98" t="s">
        <v>44</v>
      </c>
      <c r="D38" s="99">
        <v>150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14" s="87" customFormat="1" ht="15.75" x14ac:dyDescent="0.25">
      <c r="A39" s="93" t="s">
        <v>51</v>
      </c>
      <c r="B39" s="94" t="s">
        <v>363</v>
      </c>
      <c r="C39" s="94"/>
      <c r="D39" s="95">
        <v>173.57599999999999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spans="1:14" s="88" customFormat="1" ht="15.75" x14ac:dyDescent="0.25">
      <c r="A40" s="93" t="s">
        <v>466</v>
      </c>
      <c r="B40" s="94" t="s">
        <v>465</v>
      </c>
      <c r="C40" s="94"/>
      <c r="D40" s="95">
        <v>173.57599999999999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s="89" customFormat="1" ht="31.5" x14ac:dyDescent="0.25">
      <c r="A41" s="93" t="s">
        <v>364</v>
      </c>
      <c r="B41" s="94" t="s">
        <v>365</v>
      </c>
      <c r="C41" s="94"/>
      <c r="D41" s="95">
        <v>173.57599999999999</v>
      </c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87" customFormat="1" ht="15.75" x14ac:dyDescent="0.25">
      <c r="A42" s="97" t="s">
        <v>46</v>
      </c>
      <c r="B42" s="98" t="s">
        <v>365</v>
      </c>
      <c r="C42" s="98" t="s">
        <v>47</v>
      </c>
      <c r="D42" s="99">
        <v>173.57599999999999</v>
      </c>
      <c r="E42" s="88"/>
      <c r="F42" s="88"/>
      <c r="G42" s="88"/>
      <c r="H42" s="88"/>
      <c r="I42" s="88"/>
      <c r="J42" s="88"/>
      <c r="K42" s="88"/>
      <c r="L42" s="88"/>
      <c r="M42" s="88"/>
      <c r="N42" s="88"/>
    </row>
    <row r="43" spans="1:14" s="88" customFormat="1" ht="31.5" x14ac:dyDescent="0.25">
      <c r="A43" s="101" t="s">
        <v>52</v>
      </c>
      <c r="B43" s="102" t="s">
        <v>53</v>
      </c>
      <c r="C43" s="102"/>
      <c r="D43" s="103">
        <v>25733.778999999999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1:14" s="87" customFormat="1" ht="31.5" x14ac:dyDescent="0.25">
      <c r="A44" s="93" t="s">
        <v>54</v>
      </c>
      <c r="B44" s="94" t="s">
        <v>55</v>
      </c>
      <c r="C44" s="94"/>
      <c r="D44" s="95">
        <v>25433.778999999999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s="88" customFormat="1" ht="15.75" x14ac:dyDescent="0.25">
      <c r="A45" s="93" t="s">
        <v>56</v>
      </c>
      <c r="B45" s="94" t="s">
        <v>57</v>
      </c>
      <c r="C45" s="94"/>
      <c r="D45" s="95">
        <f>-800+3716.187+151.979</f>
        <v>3068.1659999999997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1:14" s="87" customFormat="1" ht="15.75" x14ac:dyDescent="0.25">
      <c r="A46" s="100" t="s">
        <v>33</v>
      </c>
      <c r="B46" s="98" t="s">
        <v>57</v>
      </c>
      <c r="C46" s="98" t="s">
        <v>7</v>
      </c>
      <c r="D46" s="99">
        <f>-800+3716.187+151.979</f>
        <v>3068.1659999999997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</row>
    <row r="47" spans="1:14" s="88" customFormat="1" ht="15.75" x14ac:dyDescent="0.25">
      <c r="A47" s="93" t="s">
        <v>56</v>
      </c>
      <c r="B47" s="94" t="s">
        <v>366</v>
      </c>
      <c r="C47" s="94"/>
      <c r="D47" s="95">
        <v>2114.6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4" s="87" customFormat="1" ht="15.75" x14ac:dyDescent="0.25">
      <c r="A48" s="97" t="s">
        <v>46</v>
      </c>
      <c r="B48" s="98" t="s">
        <v>366</v>
      </c>
      <c r="C48" s="98" t="s">
        <v>47</v>
      </c>
      <c r="D48" s="99">
        <v>2114.6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</row>
    <row r="49" spans="1:14" s="88" customFormat="1" ht="15.75" x14ac:dyDescent="0.25">
      <c r="A49" s="93" t="s">
        <v>294</v>
      </c>
      <c r="B49" s="94" t="s">
        <v>467</v>
      </c>
      <c r="C49" s="94"/>
      <c r="D49" s="95">
        <v>9034.1229999999996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s="87" customFormat="1" ht="15.75" x14ac:dyDescent="0.25">
      <c r="A50" s="93" t="s">
        <v>56</v>
      </c>
      <c r="B50" s="94" t="s">
        <v>367</v>
      </c>
      <c r="C50" s="94"/>
      <c r="D50" s="95">
        <v>9003.1350000000002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</row>
    <row r="51" spans="1:14" s="88" customFormat="1" ht="15.75" x14ac:dyDescent="0.25">
      <c r="A51" s="100" t="s">
        <v>33</v>
      </c>
      <c r="B51" s="98" t="s">
        <v>367</v>
      </c>
      <c r="C51" s="98" t="s">
        <v>7</v>
      </c>
      <c r="D51" s="99">
        <v>9003.1350000000002</v>
      </c>
    </row>
    <row r="52" spans="1:14" s="88" customFormat="1" ht="15.75" x14ac:dyDescent="0.25">
      <c r="A52" s="93" t="s">
        <v>56</v>
      </c>
      <c r="B52" s="94" t="s">
        <v>367</v>
      </c>
      <c r="C52" s="94"/>
      <c r="D52" s="95">
        <v>30.988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 s="87" customFormat="1" ht="15.75" x14ac:dyDescent="0.25">
      <c r="A53" s="97" t="s">
        <v>46</v>
      </c>
      <c r="B53" s="98" t="s">
        <v>367</v>
      </c>
      <c r="C53" s="98" t="s">
        <v>47</v>
      </c>
      <c r="D53" s="99">
        <v>30.988</v>
      </c>
    </row>
    <row r="54" spans="1:14" s="87" customFormat="1" ht="15.75" x14ac:dyDescent="0.25">
      <c r="A54" s="93" t="s">
        <v>58</v>
      </c>
      <c r="B54" s="94" t="s">
        <v>368</v>
      </c>
      <c r="C54" s="94"/>
      <c r="D54" s="95">
        <f>D55</f>
        <v>5007.3159999999998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</row>
    <row r="55" spans="1:14" s="88" customFormat="1" ht="15.75" x14ac:dyDescent="0.25">
      <c r="A55" s="100" t="s">
        <v>33</v>
      </c>
      <c r="B55" s="98" t="s">
        <v>368</v>
      </c>
      <c r="C55" s="98" t="s">
        <v>7</v>
      </c>
      <c r="D55" s="99">
        <f>800+4359.295-151.979</f>
        <v>5007.3159999999998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1:14" s="87" customFormat="1" ht="15.75" x14ac:dyDescent="0.25">
      <c r="A56" s="93" t="s">
        <v>59</v>
      </c>
      <c r="B56" s="94" t="s">
        <v>468</v>
      </c>
      <c r="C56" s="94"/>
      <c r="D56" s="95">
        <v>448.42500000000001</v>
      </c>
    </row>
    <row r="57" spans="1:14" s="87" customFormat="1" ht="15.75" x14ac:dyDescent="0.25">
      <c r="A57" s="93" t="s">
        <v>59</v>
      </c>
      <c r="B57" s="94" t="s">
        <v>369</v>
      </c>
      <c r="C57" s="94"/>
      <c r="D57" s="95">
        <v>448.42500000000001</v>
      </c>
    </row>
    <row r="58" spans="1:14" s="87" customFormat="1" ht="15.75" x14ac:dyDescent="0.25">
      <c r="A58" s="100" t="s">
        <v>33</v>
      </c>
      <c r="B58" s="98" t="s">
        <v>369</v>
      </c>
      <c r="C58" s="98" t="s">
        <v>7</v>
      </c>
      <c r="D58" s="99">
        <v>448.42500000000001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</row>
    <row r="59" spans="1:14" s="88" customFormat="1" ht="31.5" x14ac:dyDescent="0.25">
      <c r="A59" s="93" t="s">
        <v>60</v>
      </c>
      <c r="B59" s="94" t="s">
        <v>469</v>
      </c>
      <c r="C59" s="94"/>
      <c r="D59" s="95">
        <v>3261.0610000000001</v>
      </c>
    </row>
    <row r="60" spans="1:14" s="88" customFormat="1" ht="31.5" x14ac:dyDescent="0.25">
      <c r="A60" s="93" t="s">
        <v>60</v>
      </c>
      <c r="B60" s="94" t="s">
        <v>370</v>
      </c>
      <c r="C60" s="94"/>
      <c r="D60" s="95">
        <v>3261.0610000000001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1:14" s="87" customFormat="1" ht="15.75" x14ac:dyDescent="0.25">
      <c r="A61" s="97" t="s">
        <v>46</v>
      </c>
      <c r="B61" s="98" t="s">
        <v>370</v>
      </c>
      <c r="C61" s="98" t="s">
        <v>47</v>
      </c>
      <c r="D61" s="99">
        <v>3261.0610000000001</v>
      </c>
    </row>
    <row r="62" spans="1:14" s="87" customFormat="1" ht="31.5" x14ac:dyDescent="0.25">
      <c r="A62" s="93" t="s">
        <v>61</v>
      </c>
      <c r="B62" s="94" t="s">
        <v>371</v>
      </c>
      <c r="C62" s="94"/>
      <c r="D62" s="95">
        <v>0.216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</row>
    <row r="63" spans="1:14" s="88" customFormat="1" ht="15.75" x14ac:dyDescent="0.25">
      <c r="A63" s="97" t="s">
        <v>46</v>
      </c>
      <c r="B63" s="98" t="s">
        <v>371</v>
      </c>
      <c r="C63" s="94" t="s">
        <v>47</v>
      </c>
      <c r="D63" s="99">
        <v>0.216</v>
      </c>
    </row>
    <row r="64" spans="1:14" s="88" customFormat="1" ht="15.75" x14ac:dyDescent="0.25">
      <c r="A64" s="93" t="s">
        <v>62</v>
      </c>
      <c r="B64" s="94" t="s">
        <v>372</v>
      </c>
      <c r="C64" s="94"/>
      <c r="D64" s="95">
        <v>1099.8720000000001</v>
      </c>
    </row>
    <row r="65" spans="1:14" s="88" customFormat="1" ht="15.75" x14ac:dyDescent="0.25">
      <c r="A65" s="100" t="s">
        <v>33</v>
      </c>
      <c r="B65" s="98" t="s">
        <v>372</v>
      </c>
      <c r="C65" s="94" t="s">
        <v>7</v>
      </c>
      <c r="D65" s="99">
        <v>1099.8720000000001</v>
      </c>
    </row>
    <row r="66" spans="1:14" s="88" customFormat="1" ht="15.75" x14ac:dyDescent="0.25">
      <c r="A66" s="93" t="s">
        <v>63</v>
      </c>
      <c r="B66" s="94" t="s">
        <v>373</v>
      </c>
      <c r="C66" s="94"/>
      <c r="D66" s="95">
        <v>1100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</row>
    <row r="67" spans="1:14" s="87" customFormat="1" ht="15.75" x14ac:dyDescent="0.25">
      <c r="A67" s="97" t="s">
        <v>46</v>
      </c>
      <c r="B67" s="98" t="s">
        <v>373</v>
      </c>
      <c r="C67" s="94" t="s">
        <v>47</v>
      </c>
      <c r="D67" s="99">
        <v>1100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</row>
    <row r="68" spans="1:14" s="88" customFormat="1" ht="15.75" x14ac:dyDescent="0.25">
      <c r="A68" s="93" t="s">
        <v>64</v>
      </c>
      <c r="B68" s="94" t="s">
        <v>374</v>
      </c>
      <c r="C68" s="94"/>
      <c r="D68" s="95">
        <v>300</v>
      </c>
    </row>
    <row r="69" spans="1:14" s="88" customFormat="1" ht="15.75" x14ac:dyDescent="0.25">
      <c r="A69" s="97" t="s">
        <v>46</v>
      </c>
      <c r="B69" s="98" t="s">
        <v>374</v>
      </c>
      <c r="C69" s="94" t="s">
        <v>47</v>
      </c>
      <c r="D69" s="99">
        <v>300</v>
      </c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1:14" s="87" customFormat="1" ht="15.75" x14ac:dyDescent="0.25">
      <c r="A70" s="93" t="s">
        <v>65</v>
      </c>
      <c r="B70" s="94" t="s">
        <v>375</v>
      </c>
      <c r="C70" s="94"/>
      <c r="D70" s="95">
        <v>300</v>
      </c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s="89" customFormat="1" ht="15.75" x14ac:dyDescent="0.25">
      <c r="A71" s="93" t="s">
        <v>66</v>
      </c>
      <c r="B71" s="94" t="s">
        <v>376</v>
      </c>
      <c r="C71" s="94"/>
      <c r="D71" s="95">
        <v>300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</row>
    <row r="72" spans="1:14" s="87" customFormat="1" ht="15.75" x14ac:dyDescent="0.25">
      <c r="A72" s="97" t="s">
        <v>46</v>
      </c>
      <c r="B72" s="98" t="s">
        <v>376</v>
      </c>
      <c r="C72" s="94" t="s">
        <v>47</v>
      </c>
      <c r="D72" s="99">
        <v>300</v>
      </c>
    </row>
    <row r="73" spans="1:14" s="87" customFormat="1" ht="31.5" x14ac:dyDescent="0.25">
      <c r="A73" s="101" t="s">
        <v>67</v>
      </c>
      <c r="B73" s="102" t="s">
        <v>68</v>
      </c>
      <c r="C73" s="102"/>
      <c r="D73" s="103">
        <f>D74+D99</f>
        <v>63937.901000000005</v>
      </c>
    </row>
    <row r="74" spans="1:14" s="87" customFormat="1" ht="15.75" x14ac:dyDescent="0.25">
      <c r="A74" s="93" t="s">
        <v>69</v>
      </c>
      <c r="B74" s="94" t="s">
        <v>70</v>
      </c>
      <c r="C74" s="94"/>
      <c r="D74" s="95">
        <f>D75+D77+D79+D81+D83+D88+D91+D93+D95+D97</f>
        <v>58339.420000000006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</row>
    <row r="75" spans="1:14" s="88" customFormat="1" ht="47.25" x14ac:dyDescent="0.25">
      <c r="A75" s="93" t="s">
        <v>146</v>
      </c>
      <c r="B75" s="94" t="s">
        <v>147</v>
      </c>
      <c r="C75" s="94"/>
      <c r="D75" s="95">
        <v>1000</v>
      </c>
    </row>
    <row r="76" spans="1:14" s="88" customFormat="1" ht="15.75" x14ac:dyDescent="0.25">
      <c r="A76" s="100" t="s">
        <v>33</v>
      </c>
      <c r="B76" s="98" t="s">
        <v>147</v>
      </c>
      <c r="C76" s="94" t="s">
        <v>7</v>
      </c>
      <c r="D76" s="99">
        <v>1000</v>
      </c>
      <c r="E76" s="87"/>
      <c r="F76" s="87"/>
      <c r="G76" s="87"/>
      <c r="H76" s="87"/>
      <c r="I76" s="87"/>
      <c r="J76" s="87"/>
      <c r="K76" s="87"/>
      <c r="L76" s="87"/>
      <c r="M76" s="87"/>
      <c r="N76" s="87"/>
    </row>
    <row r="77" spans="1:14" s="87" customFormat="1" ht="15.75" x14ac:dyDescent="0.25">
      <c r="A77" s="100" t="s">
        <v>148</v>
      </c>
      <c r="B77" s="98" t="s">
        <v>149</v>
      </c>
      <c r="C77" s="98"/>
      <c r="D77" s="99">
        <v>100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</row>
    <row r="78" spans="1:14" s="87" customFormat="1" ht="15.75" x14ac:dyDescent="0.25">
      <c r="A78" s="74" t="s">
        <v>33</v>
      </c>
      <c r="B78" s="98" t="s">
        <v>149</v>
      </c>
      <c r="C78" s="98" t="s">
        <v>7</v>
      </c>
      <c r="D78" s="99">
        <v>100</v>
      </c>
      <c r="E78" s="88"/>
      <c r="F78" s="88"/>
      <c r="G78" s="88"/>
      <c r="H78" s="88"/>
      <c r="I78" s="88"/>
      <c r="J78" s="88"/>
      <c r="K78" s="88"/>
      <c r="L78" s="88"/>
      <c r="M78" s="88"/>
      <c r="N78" s="88"/>
    </row>
    <row r="79" spans="1:14" s="88" customFormat="1" ht="31.5" x14ac:dyDescent="0.25">
      <c r="A79" s="93" t="s">
        <v>377</v>
      </c>
      <c r="B79" s="94" t="s">
        <v>378</v>
      </c>
      <c r="C79" s="94"/>
      <c r="D79" s="95">
        <v>834.49800000000005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1:14" s="87" customFormat="1" ht="15.75" x14ac:dyDescent="0.25">
      <c r="A80" s="100" t="s">
        <v>71</v>
      </c>
      <c r="B80" s="98" t="s">
        <v>378</v>
      </c>
      <c r="C80" s="94" t="s">
        <v>8</v>
      </c>
      <c r="D80" s="99">
        <v>834.49800000000005</v>
      </c>
      <c r="E80" s="88"/>
      <c r="F80" s="88"/>
      <c r="G80" s="88"/>
      <c r="H80" s="88"/>
      <c r="I80" s="88"/>
      <c r="J80" s="88"/>
      <c r="K80" s="88"/>
      <c r="L80" s="88"/>
      <c r="M80" s="88"/>
      <c r="N80" s="88"/>
    </row>
    <row r="81" spans="1:14" s="88" customFormat="1" ht="31.5" x14ac:dyDescent="0.25">
      <c r="A81" s="93" t="s">
        <v>379</v>
      </c>
      <c r="B81" s="94" t="s">
        <v>380</v>
      </c>
      <c r="C81" s="94"/>
      <c r="D81" s="95">
        <v>834.49800000000005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</row>
    <row r="82" spans="1:14" s="87" customFormat="1" ht="15.75" x14ac:dyDescent="0.25">
      <c r="A82" s="100" t="s">
        <v>71</v>
      </c>
      <c r="B82" s="98" t="s">
        <v>380</v>
      </c>
      <c r="C82" s="94" t="s">
        <v>8</v>
      </c>
      <c r="D82" s="99">
        <v>834.49800000000005</v>
      </c>
      <c r="E82" s="88"/>
      <c r="F82" s="88"/>
      <c r="G82" s="88"/>
      <c r="H82" s="88"/>
      <c r="I82" s="88"/>
      <c r="J82" s="88"/>
      <c r="K82" s="88"/>
      <c r="L82" s="88"/>
      <c r="M82" s="88"/>
      <c r="N82" s="88"/>
    </row>
    <row r="83" spans="1:14" s="88" customFormat="1" ht="47.25" x14ac:dyDescent="0.25">
      <c r="A83" s="93" t="s">
        <v>150</v>
      </c>
      <c r="B83" s="94" t="s">
        <v>151</v>
      </c>
      <c r="C83" s="94"/>
      <c r="D83" s="95">
        <v>13099.6</v>
      </c>
      <c r="E83" s="87"/>
      <c r="F83" s="220"/>
      <c r="G83" s="87"/>
      <c r="H83" s="87"/>
      <c r="I83" s="87"/>
      <c r="J83" s="87"/>
      <c r="K83" s="87"/>
      <c r="L83" s="87"/>
      <c r="M83" s="87"/>
      <c r="N83" s="87"/>
    </row>
    <row r="84" spans="1:14" s="87" customFormat="1" ht="63" x14ac:dyDescent="0.25">
      <c r="A84" s="96" t="s">
        <v>152</v>
      </c>
      <c r="B84" s="94" t="s">
        <v>153</v>
      </c>
      <c r="C84" s="94"/>
      <c r="D84" s="95">
        <v>2965.23</v>
      </c>
      <c r="E84" s="88"/>
      <c r="F84" s="88"/>
      <c r="G84" s="88"/>
      <c r="H84" s="88"/>
      <c r="I84" s="88"/>
      <c r="J84" s="88"/>
      <c r="K84" s="88"/>
      <c r="L84" s="88"/>
      <c r="M84" s="88"/>
      <c r="N84" s="88"/>
    </row>
    <row r="85" spans="1:14" s="88" customFormat="1" ht="15.75" x14ac:dyDescent="0.25">
      <c r="A85" s="97" t="s">
        <v>154</v>
      </c>
      <c r="B85" s="98" t="s">
        <v>153</v>
      </c>
      <c r="C85" s="94" t="s">
        <v>10</v>
      </c>
      <c r="D85" s="99">
        <v>2965.23</v>
      </c>
      <c r="E85" s="87"/>
      <c r="F85" s="87"/>
      <c r="G85" s="87"/>
      <c r="H85" s="87"/>
      <c r="I85" s="87"/>
      <c r="J85" s="87"/>
      <c r="K85" s="87"/>
      <c r="L85" s="87"/>
      <c r="M85" s="87"/>
      <c r="N85" s="87"/>
    </row>
    <row r="86" spans="1:14" s="87" customFormat="1" ht="63" x14ac:dyDescent="0.25">
      <c r="A86" s="96" t="s">
        <v>152</v>
      </c>
      <c r="B86" s="94" t="s">
        <v>155</v>
      </c>
      <c r="C86" s="94"/>
      <c r="D86" s="95">
        <v>10134.370000000001</v>
      </c>
    </row>
    <row r="87" spans="1:14" s="87" customFormat="1" ht="15.75" x14ac:dyDescent="0.25">
      <c r="A87" s="97" t="s">
        <v>154</v>
      </c>
      <c r="B87" s="98" t="s">
        <v>155</v>
      </c>
      <c r="C87" s="94" t="s">
        <v>10</v>
      </c>
      <c r="D87" s="99">
        <v>10134.370000000001</v>
      </c>
    </row>
    <row r="88" spans="1:14" s="87" customFormat="1" ht="15.75" x14ac:dyDescent="0.25">
      <c r="A88" s="93" t="s">
        <v>72</v>
      </c>
      <c r="B88" s="94" t="s">
        <v>381</v>
      </c>
      <c r="C88" s="94"/>
      <c r="D88" s="95">
        <f>D89</f>
        <v>3125.0239999999999</v>
      </c>
    </row>
    <row r="89" spans="1:14" s="87" customFormat="1" ht="15.75" x14ac:dyDescent="0.25">
      <c r="A89" s="93" t="s">
        <v>72</v>
      </c>
      <c r="B89" s="94" t="s">
        <v>382</v>
      </c>
      <c r="C89" s="94"/>
      <c r="D89" s="95">
        <f>D90</f>
        <v>3125.0239999999999</v>
      </c>
      <c r="E89" s="88"/>
      <c r="F89" s="88"/>
      <c r="G89" s="88"/>
      <c r="H89" s="88"/>
      <c r="I89" s="88"/>
      <c r="J89" s="88"/>
      <c r="K89" s="88"/>
      <c r="L89" s="88"/>
      <c r="M89" s="88"/>
      <c r="N89" s="88"/>
    </row>
    <row r="90" spans="1:14" s="88" customFormat="1" ht="15.75" x14ac:dyDescent="0.25">
      <c r="A90" s="97" t="s">
        <v>46</v>
      </c>
      <c r="B90" s="98" t="s">
        <v>382</v>
      </c>
      <c r="C90" s="94" t="s">
        <v>47</v>
      </c>
      <c r="D90" s="99">
        <f>2720.607+404.417</f>
        <v>3125.0239999999999</v>
      </c>
    </row>
    <row r="91" spans="1:14" s="88" customFormat="1" ht="15.75" x14ac:dyDescent="0.25">
      <c r="A91" s="93" t="s">
        <v>156</v>
      </c>
      <c r="B91" s="94" t="s">
        <v>157</v>
      </c>
      <c r="C91" s="94"/>
      <c r="D91" s="95">
        <f>D92</f>
        <v>8600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</row>
    <row r="92" spans="1:14" s="87" customFormat="1" ht="15.75" x14ac:dyDescent="0.25">
      <c r="A92" s="97" t="s">
        <v>154</v>
      </c>
      <c r="B92" s="98" t="s">
        <v>157</v>
      </c>
      <c r="C92" s="94" t="s">
        <v>10</v>
      </c>
      <c r="D92" s="99">
        <f>5000+3600</f>
        <v>8600</v>
      </c>
      <c r="E92" s="88"/>
      <c r="F92" s="88"/>
      <c r="G92" s="88"/>
      <c r="H92" s="88"/>
      <c r="I92" s="88"/>
      <c r="J92" s="88"/>
      <c r="K92" s="88"/>
      <c r="L92" s="88"/>
      <c r="M92" s="88"/>
      <c r="N92" s="88"/>
    </row>
    <row r="93" spans="1:14" s="88" customFormat="1" ht="15.75" x14ac:dyDescent="0.25">
      <c r="A93" s="93" t="s">
        <v>158</v>
      </c>
      <c r="B93" s="94" t="s">
        <v>909</v>
      </c>
      <c r="C93" s="94"/>
      <c r="D93" s="95">
        <v>29208.51</v>
      </c>
      <c r="E93" s="87"/>
      <c r="F93" s="87"/>
      <c r="G93" s="87"/>
      <c r="H93" s="87"/>
      <c r="I93" s="87"/>
      <c r="J93" s="87"/>
      <c r="K93" s="87"/>
      <c r="L93" s="87"/>
      <c r="M93" s="87"/>
      <c r="N93" s="87"/>
    </row>
    <row r="94" spans="1:14" s="87" customFormat="1" ht="15.75" x14ac:dyDescent="0.25">
      <c r="A94" s="97" t="s">
        <v>154</v>
      </c>
      <c r="B94" s="98" t="s">
        <v>909</v>
      </c>
      <c r="C94" s="94" t="s">
        <v>10</v>
      </c>
      <c r="D94" s="99">
        <v>29208.51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</row>
    <row r="95" spans="1:14" s="88" customFormat="1" ht="15.75" x14ac:dyDescent="0.25">
      <c r="A95" s="93" t="s">
        <v>158</v>
      </c>
      <c r="B95" s="94" t="s">
        <v>910</v>
      </c>
      <c r="C95" s="94"/>
      <c r="D95" s="95">
        <v>1229.8320000000001</v>
      </c>
      <c r="E95" s="87"/>
      <c r="F95" s="87"/>
      <c r="G95" s="87"/>
      <c r="H95" s="87"/>
      <c r="I95" s="87"/>
      <c r="J95" s="87"/>
      <c r="K95" s="87"/>
      <c r="L95" s="87"/>
      <c r="M95" s="87"/>
      <c r="N95" s="87"/>
    </row>
    <row r="96" spans="1:14" s="87" customFormat="1" ht="15.75" x14ac:dyDescent="0.25">
      <c r="A96" s="97" t="s">
        <v>154</v>
      </c>
      <c r="B96" s="98" t="s">
        <v>910</v>
      </c>
      <c r="C96" s="94" t="s">
        <v>10</v>
      </c>
      <c r="D96" s="99">
        <v>1229.8320000000001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s="88" customFormat="1" ht="15.75" x14ac:dyDescent="0.25">
      <c r="A97" s="93" t="s">
        <v>158</v>
      </c>
      <c r="B97" s="94" t="s">
        <v>911</v>
      </c>
      <c r="C97" s="94"/>
      <c r="D97" s="95">
        <v>307.45800000000003</v>
      </c>
    </row>
    <row r="98" spans="1:14" s="88" customFormat="1" ht="15.75" x14ac:dyDescent="0.25">
      <c r="A98" s="97" t="s">
        <v>154</v>
      </c>
      <c r="B98" s="98" t="s">
        <v>911</v>
      </c>
      <c r="C98" s="94" t="s">
        <v>10</v>
      </c>
      <c r="D98" s="99">
        <v>307.45800000000003</v>
      </c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1:14" s="87" customFormat="1" ht="15.75" x14ac:dyDescent="0.25">
      <c r="A99" s="93" t="s">
        <v>73</v>
      </c>
      <c r="B99" s="94" t="s">
        <v>74</v>
      </c>
      <c r="C99" s="94"/>
      <c r="D99" s="95">
        <f>D100+D102+D105+D108+D113+D115</f>
        <v>5598.4809999999998</v>
      </c>
    </row>
    <row r="100" spans="1:14" s="87" customFormat="1" ht="15.75" x14ac:dyDescent="0.25">
      <c r="A100" s="93" t="s">
        <v>162</v>
      </c>
      <c r="B100" s="94" t="s">
        <v>163</v>
      </c>
      <c r="C100" s="94"/>
      <c r="D100" s="95">
        <f>D101</f>
        <v>939.00200000000007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s="88" customFormat="1" ht="15.75" x14ac:dyDescent="0.25">
      <c r="A101" s="100" t="s">
        <v>33</v>
      </c>
      <c r="B101" s="98" t="s">
        <v>163</v>
      </c>
      <c r="C101" s="94" t="s">
        <v>7</v>
      </c>
      <c r="D101" s="99">
        <f>620.003+49.553+269.446</f>
        <v>939.00200000000007</v>
      </c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s="87" customFormat="1" ht="15.75" x14ac:dyDescent="0.25">
      <c r="A102" s="93" t="s">
        <v>75</v>
      </c>
      <c r="B102" s="94" t="s">
        <v>383</v>
      </c>
      <c r="C102" s="94"/>
      <c r="D102" s="95">
        <f>D103</f>
        <v>88.141999999999996</v>
      </c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s="88" customFormat="1" ht="15.75" x14ac:dyDescent="0.25">
      <c r="A103" s="93" t="s">
        <v>384</v>
      </c>
      <c r="B103" s="94" t="s">
        <v>385</v>
      </c>
      <c r="C103" s="94"/>
      <c r="D103" s="95">
        <f>D104</f>
        <v>88.141999999999996</v>
      </c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s="87" customFormat="1" ht="15.75" x14ac:dyDescent="0.25">
      <c r="A104" s="97" t="s">
        <v>46</v>
      </c>
      <c r="B104" s="98" t="s">
        <v>385</v>
      </c>
      <c r="C104" s="94" t="s">
        <v>47</v>
      </c>
      <c r="D104" s="99">
        <f>77.142+11</f>
        <v>88.141999999999996</v>
      </c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s="88" customFormat="1" ht="15.75" x14ac:dyDescent="0.25">
      <c r="A105" s="93" t="s">
        <v>471</v>
      </c>
      <c r="B105" s="94" t="s">
        <v>470</v>
      </c>
      <c r="C105" s="94"/>
      <c r="D105" s="95">
        <v>108.86799999999999</v>
      </c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s="87" customFormat="1" ht="31.5" x14ac:dyDescent="0.25">
      <c r="A106" s="93" t="s">
        <v>386</v>
      </c>
      <c r="B106" s="94" t="s">
        <v>387</v>
      </c>
      <c r="C106" s="94"/>
      <c r="D106" s="95">
        <v>108.86799999999999</v>
      </c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s="88" customFormat="1" ht="15.75" x14ac:dyDescent="0.25">
      <c r="A107" s="97" t="s">
        <v>46</v>
      </c>
      <c r="B107" s="98" t="s">
        <v>387</v>
      </c>
      <c r="C107" s="94" t="s">
        <v>47</v>
      </c>
      <c r="D107" s="99">
        <v>108.86799999999999</v>
      </c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s="87" customFormat="1" ht="15.75" x14ac:dyDescent="0.25">
      <c r="A108" s="93" t="s">
        <v>76</v>
      </c>
      <c r="B108" s="94" t="s">
        <v>77</v>
      </c>
      <c r="C108" s="94"/>
      <c r="D108" s="95">
        <f>D109+D111</f>
        <v>1854.8579999999999</v>
      </c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s="88" customFormat="1" ht="15.75" x14ac:dyDescent="0.25">
      <c r="A109" s="93" t="s">
        <v>76</v>
      </c>
      <c r="B109" s="94" t="s">
        <v>77</v>
      </c>
      <c r="C109" s="94"/>
      <c r="D109" s="95">
        <f>D110</f>
        <v>1804.8579999999999</v>
      </c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s="87" customFormat="1" ht="15.75" x14ac:dyDescent="0.25">
      <c r="A110" s="100" t="s">
        <v>33</v>
      </c>
      <c r="B110" s="98" t="s">
        <v>77</v>
      </c>
      <c r="C110" s="94" t="s">
        <v>7</v>
      </c>
      <c r="D110" s="99">
        <f>1304.858+500</f>
        <v>1804.8579999999999</v>
      </c>
    </row>
    <row r="111" spans="1:14" s="87" customFormat="1" ht="15.75" x14ac:dyDescent="0.25">
      <c r="A111" s="93" t="s">
        <v>76</v>
      </c>
      <c r="B111" s="94" t="s">
        <v>388</v>
      </c>
      <c r="C111" s="94"/>
      <c r="D111" s="95">
        <v>50</v>
      </c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s="88" customFormat="1" ht="15.75" x14ac:dyDescent="0.25">
      <c r="A112" s="97" t="s">
        <v>46</v>
      </c>
      <c r="B112" s="98" t="s">
        <v>388</v>
      </c>
      <c r="C112" s="94" t="s">
        <v>47</v>
      </c>
      <c r="D112" s="99">
        <v>50</v>
      </c>
    </row>
    <row r="113" spans="1:14" s="88" customFormat="1" ht="15.75" x14ac:dyDescent="0.25">
      <c r="A113" s="93" t="s">
        <v>78</v>
      </c>
      <c r="B113" s="94" t="s">
        <v>389</v>
      </c>
      <c r="C113" s="94"/>
      <c r="D113" s="95">
        <v>443</v>
      </c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s="87" customFormat="1" ht="15.75" x14ac:dyDescent="0.25">
      <c r="A114" s="100" t="s">
        <v>33</v>
      </c>
      <c r="B114" s="98" t="s">
        <v>389</v>
      </c>
      <c r="C114" s="94" t="s">
        <v>7</v>
      </c>
      <c r="D114" s="99">
        <v>443</v>
      </c>
      <c r="E114" s="89"/>
      <c r="F114" s="89"/>
      <c r="G114" s="89"/>
      <c r="H114" s="89"/>
      <c r="I114" s="89"/>
      <c r="J114" s="89"/>
      <c r="K114" s="89"/>
      <c r="L114" s="89"/>
      <c r="M114" s="89"/>
      <c r="N114" s="89"/>
    </row>
    <row r="115" spans="1:14" s="89" customFormat="1" ht="15.75" x14ac:dyDescent="0.25">
      <c r="A115" s="93" t="s">
        <v>164</v>
      </c>
      <c r="B115" s="94" t="s">
        <v>165</v>
      </c>
      <c r="C115" s="94"/>
      <c r="D115" s="95">
        <f>D116</f>
        <v>2164.6109999999999</v>
      </c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s="87" customFormat="1" ht="15.75" x14ac:dyDescent="0.25">
      <c r="A116" s="100" t="s">
        <v>33</v>
      </c>
      <c r="B116" s="98" t="s">
        <v>165</v>
      </c>
      <c r="C116" s="94" t="s">
        <v>7</v>
      </c>
      <c r="D116" s="99">
        <f>1864.611+300</f>
        <v>2164.6109999999999</v>
      </c>
    </row>
    <row r="117" spans="1:14" s="87" customFormat="1" ht="15.75" x14ac:dyDescent="0.25">
      <c r="A117" s="101" t="s">
        <v>172</v>
      </c>
      <c r="B117" s="102" t="s">
        <v>424</v>
      </c>
      <c r="C117" s="102"/>
      <c r="D117" s="103">
        <f>D118+D137+D162+D177+D184</f>
        <v>430854.80100000009</v>
      </c>
    </row>
    <row r="118" spans="1:14" s="87" customFormat="1" ht="15.75" x14ac:dyDescent="0.25">
      <c r="A118" s="93" t="s">
        <v>173</v>
      </c>
      <c r="B118" s="94" t="s">
        <v>425</v>
      </c>
      <c r="C118" s="94"/>
      <c r="D118" s="95">
        <f>D119+D121+D128+D131+D133+D135</f>
        <v>147920.99500000002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s="88" customFormat="1" ht="31.5" x14ac:dyDescent="0.25">
      <c r="A119" s="93" t="s">
        <v>124</v>
      </c>
      <c r="B119" s="94" t="s">
        <v>426</v>
      </c>
      <c r="C119" s="94"/>
      <c r="D119" s="95">
        <v>134.63200000000001</v>
      </c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s="87" customFormat="1" ht="31.5" x14ac:dyDescent="0.25">
      <c r="A120" s="100" t="s">
        <v>105</v>
      </c>
      <c r="B120" s="98" t="s">
        <v>426</v>
      </c>
      <c r="C120" s="94" t="s">
        <v>106</v>
      </c>
      <c r="D120" s="99">
        <v>134.63200000000001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s="88" customFormat="1" ht="31.5" x14ac:dyDescent="0.25">
      <c r="A121" s="93" t="s">
        <v>174</v>
      </c>
      <c r="B121" s="94" t="s">
        <v>427</v>
      </c>
      <c r="C121" s="94"/>
      <c r="D121" s="95">
        <f>D122+D124+D126</f>
        <v>144253.36300000001</v>
      </c>
    </row>
    <row r="122" spans="1:14" s="88" customFormat="1" ht="31.5" x14ac:dyDescent="0.25">
      <c r="A122" s="93" t="s">
        <v>174</v>
      </c>
      <c r="B122" s="94" t="s">
        <v>427</v>
      </c>
      <c r="C122" s="94"/>
      <c r="D122" s="95">
        <f>D123</f>
        <v>58272.228999999999</v>
      </c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s="87" customFormat="1" ht="31.5" x14ac:dyDescent="0.25">
      <c r="A123" s="100" t="s">
        <v>105</v>
      </c>
      <c r="B123" s="98" t="s">
        <v>427</v>
      </c>
      <c r="C123" s="94" t="s">
        <v>106</v>
      </c>
      <c r="D123" s="99">
        <f>58254.599+17.63</f>
        <v>58272.228999999999</v>
      </c>
    </row>
    <row r="124" spans="1:14" s="87" customFormat="1" ht="31.5" x14ac:dyDescent="0.25">
      <c r="A124" s="93" t="s">
        <v>175</v>
      </c>
      <c r="B124" s="94" t="s">
        <v>428</v>
      </c>
      <c r="C124" s="94"/>
      <c r="D124" s="95">
        <v>82561.740000000005</v>
      </c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s="88" customFormat="1" ht="31.5" x14ac:dyDescent="0.25">
      <c r="A125" s="100" t="s">
        <v>105</v>
      </c>
      <c r="B125" s="98" t="s">
        <v>428</v>
      </c>
      <c r="C125" s="94" t="s">
        <v>106</v>
      </c>
      <c r="D125" s="99">
        <f>5779.02+76782.72</f>
        <v>82561.740000000005</v>
      </c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s="88" customFormat="1" ht="31.5" x14ac:dyDescent="0.25">
      <c r="A126" s="57" t="s">
        <v>496</v>
      </c>
      <c r="B126" s="75" t="s">
        <v>495</v>
      </c>
      <c r="C126" s="75"/>
      <c r="D126" s="76">
        <f>D127</f>
        <v>3419.3939999999998</v>
      </c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s="88" customFormat="1" ht="31.5" x14ac:dyDescent="0.25">
      <c r="A127" s="57" t="s">
        <v>105</v>
      </c>
      <c r="B127" s="75" t="s">
        <v>495</v>
      </c>
      <c r="C127" s="75" t="s">
        <v>106</v>
      </c>
      <c r="D127" s="76">
        <f>3419.394</f>
        <v>3419.3939999999998</v>
      </c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s="87" customFormat="1" ht="47.25" x14ac:dyDescent="0.25">
      <c r="A128" s="93" t="s">
        <v>176</v>
      </c>
      <c r="B128" s="94" t="s">
        <v>429</v>
      </c>
      <c r="C128" s="94"/>
      <c r="D128" s="95">
        <f>D129</f>
        <v>2883.2</v>
      </c>
    </row>
    <row r="129" spans="1:14" s="87" customFormat="1" ht="47.25" x14ac:dyDescent="0.25">
      <c r="A129" s="93" t="s">
        <v>176</v>
      </c>
      <c r="B129" s="94" t="s">
        <v>430</v>
      </c>
      <c r="C129" s="94"/>
      <c r="D129" s="95">
        <f>D130</f>
        <v>2883.2</v>
      </c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s="88" customFormat="1" ht="31.5" x14ac:dyDescent="0.25">
      <c r="A130" s="100" t="s">
        <v>105</v>
      </c>
      <c r="B130" s="98" t="s">
        <v>430</v>
      </c>
      <c r="C130" s="94" t="s">
        <v>106</v>
      </c>
      <c r="D130" s="99">
        <f>18+2545.2+320</f>
        <v>2883.2</v>
      </c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s="87" customFormat="1" ht="15.75" x14ac:dyDescent="0.25">
      <c r="A131" s="93" t="s">
        <v>177</v>
      </c>
      <c r="B131" s="94" t="s">
        <v>431</v>
      </c>
      <c r="C131" s="94"/>
      <c r="D131" s="95">
        <f>D132</f>
        <v>415</v>
      </c>
    </row>
    <row r="132" spans="1:14" s="87" customFormat="1" ht="31.5" x14ac:dyDescent="0.25">
      <c r="A132" s="100" t="s">
        <v>105</v>
      </c>
      <c r="B132" s="98" t="s">
        <v>431</v>
      </c>
      <c r="C132" s="94" t="s">
        <v>106</v>
      </c>
      <c r="D132" s="99">
        <f>290+125</f>
        <v>415</v>
      </c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s="88" customFormat="1" ht="15.75" x14ac:dyDescent="0.25">
      <c r="A133" s="93" t="s">
        <v>178</v>
      </c>
      <c r="B133" s="94" t="s">
        <v>432</v>
      </c>
      <c r="C133" s="94"/>
      <c r="D133" s="95">
        <f>D134</f>
        <v>141</v>
      </c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  <row r="134" spans="1:14" s="87" customFormat="1" ht="31.5" x14ac:dyDescent="0.25">
      <c r="A134" s="100" t="s">
        <v>105</v>
      </c>
      <c r="B134" s="98" t="s">
        <v>432</v>
      </c>
      <c r="C134" s="98" t="s">
        <v>106</v>
      </c>
      <c r="D134" s="99">
        <f>71+70</f>
        <v>141</v>
      </c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s="88" customFormat="1" ht="15.75" x14ac:dyDescent="0.25">
      <c r="A135" s="93" t="s">
        <v>179</v>
      </c>
      <c r="B135" s="94" t="s">
        <v>433</v>
      </c>
      <c r="C135" s="94"/>
      <c r="D135" s="95">
        <f>D136</f>
        <v>93.8</v>
      </c>
      <c r="E135" s="87"/>
      <c r="F135" s="87"/>
      <c r="G135" s="87"/>
      <c r="H135" s="87"/>
      <c r="I135" s="87"/>
      <c r="J135" s="87"/>
      <c r="K135" s="87"/>
      <c r="L135" s="87"/>
      <c r="M135" s="87"/>
      <c r="N135" s="87"/>
    </row>
    <row r="136" spans="1:14" s="87" customFormat="1" ht="31.5" x14ac:dyDescent="0.25">
      <c r="A136" s="100" t="s">
        <v>105</v>
      </c>
      <c r="B136" s="94" t="s">
        <v>433</v>
      </c>
      <c r="C136" s="94" t="s">
        <v>106</v>
      </c>
      <c r="D136" s="95">
        <f>-10.48+1.08+103.2</f>
        <v>93.8</v>
      </c>
    </row>
    <row r="137" spans="1:14" s="87" customFormat="1" ht="15.75" x14ac:dyDescent="0.25">
      <c r="A137" s="93" t="s">
        <v>180</v>
      </c>
      <c r="B137" s="94" t="s">
        <v>434</v>
      </c>
      <c r="C137" s="94"/>
      <c r="D137" s="95">
        <f>D138+D140+D142+D144+D146+D149+D151+D153+D155+D157+D160</f>
        <v>237168.29</v>
      </c>
    </row>
    <row r="138" spans="1:14" s="87" customFormat="1" ht="31.5" x14ac:dyDescent="0.25">
      <c r="A138" s="93" t="s">
        <v>124</v>
      </c>
      <c r="B138" s="94" t="s">
        <v>435</v>
      </c>
      <c r="C138" s="94"/>
      <c r="D138" s="95">
        <v>80.161000000000001</v>
      </c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4" s="88" customFormat="1" ht="31.5" x14ac:dyDescent="0.25">
      <c r="A139" s="100" t="s">
        <v>105</v>
      </c>
      <c r="B139" s="98" t="s">
        <v>435</v>
      </c>
      <c r="C139" s="94" t="s">
        <v>106</v>
      </c>
      <c r="D139" s="99">
        <v>80.161000000000001</v>
      </c>
    </row>
    <row r="140" spans="1:14" s="88" customFormat="1" ht="15.75" x14ac:dyDescent="0.25">
      <c r="A140" s="93" t="s">
        <v>181</v>
      </c>
      <c r="B140" s="94" t="s">
        <v>436</v>
      </c>
      <c r="C140" s="94"/>
      <c r="D140" s="95">
        <f>D141</f>
        <v>43088.934000000008</v>
      </c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1:14" s="87" customFormat="1" ht="31.5" x14ac:dyDescent="0.25">
      <c r="A141" s="100" t="s">
        <v>105</v>
      </c>
      <c r="B141" s="94" t="s">
        <v>436</v>
      </c>
      <c r="C141" s="94" t="s">
        <v>106</v>
      </c>
      <c r="D141" s="95">
        <f>43337.61-95.969-149.215-3.492</f>
        <v>43088.934000000008</v>
      </c>
    </row>
    <row r="142" spans="1:14" s="87" customFormat="1" ht="31.5" x14ac:dyDescent="0.25">
      <c r="A142" s="93" t="s">
        <v>175</v>
      </c>
      <c r="B142" s="94" t="s">
        <v>437</v>
      </c>
      <c r="C142" s="94"/>
      <c r="D142" s="95">
        <f>D143</f>
        <v>166857.66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</row>
    <row r="143" spans="1:14" s="88" customFormat="1" ht="31.5" x14ac:dyDescent="0.25">
      <c r="A143" s="100" t="s">
        <v>105</v>
      </c>
      <c r="B143" s="98" t="s">
        <v>437</v>
      </c>
      <c r="C143" s="98" t="s">
        <v>106</v>
      </c>
      <c r="D143" s="99">
        <f>165643.06+1214.6</f>
        <v>166857.66</v>
      </c>
      <c r="E143" s="87"/>
      <c r="F143" s="87"/>
      <c r="G143" s="87"/>
      <c r="H143" s="87"/>
      <c r="I143" s="87"/>
      <c r="J143" s="87"/>
      <c r="K143" s="87"/>
      <c r="L143" s="87"/>
      <c r="M143" s="87"/>
      <c r="N143" s="87"/>
    </row>
    <row r="144" spans="1:14" s="88" customFormat="1" ht="31.5" x14ac:dyDescent="0.25">
      <c r="A144" s="57" t="s">
        <v>496</v>
      </c>
      <c r="B144" s="75" t="s">
        <v>497</v>
      </c>
      <c r="C144" s="75"/>
      <c r="D144" s="76">
        <f>D145</f>
        <v>13978.383</v>
      </c>
      <c r="E144" s="87"/>
      <c r="F144" s="87"/>
      <c r="G144" s="87"/>
      <c r="H144" s="87"/>
      <c r="I144" s="87"/>
      <c r="J144" s="87"/>
      <c r="K144" s="87"/>
      <c r="L144" s="87"/>
      <c r="M144" s="87"/>
      <c r="N144" s="87"/>
    </row>
    <row r="145" spans="1:14" s="88" customFormat="1" ht="31.5" x14ac:dyDescent="0.25">
      <c r="A145" s="57" t="s">
        <v>105</v>
      </c>
      <c r="B145" s="75" t="s">
        <v>497</v>
      </c>
      <c r="C145" s="75" t="s">
        <v>106</v>
      </c>
      <c r="D145" s="76">
        <f>13978.383</f>
        <v>13978.383</v>
      </c>
      <c r="E145" s="87"/>
      <c r="F145" s="87"/>
      <c r="G145" s="87"/>
      <c r="H145" s="87"/>
      <c r="I145" s="87"/>
      <c r="J145" s="87"/>
      <c r="K145" s="87"/>
      <c r="L145" s="87"/>
      <c r="M145" s="87"/>
      <c r="N145" s="87"/>
    </row>
    <row r="146" spans="1:14" s="87" customFormat="1" ht="47.25" x14ac:dyDescent="0.25">
      <c r="A146" s="93" t="s">
        <v>176</v>
      </c>
      <c r="B146" s="94" t="s">
        <v>438</v>
      </c>
      <c r="C146" s="94"/>
      <c r="D146" s="95">
        <f>D147</f>
        <v>598</v>
      </c>
    </row>
    <row r="147" spans="1:14" s="87" customFormat="1" ht="47.25" x14ac:dyDescent="0.25">
      <c r="A147" s="93" t="s">
        <v>176</v>
      </c>
      <c r="B147" s="94" t="s">
        <v>439</v>
      </c>
      <c r="C147" s="94"/>
      <c r="D147" s="95">
        <f>D148</f>
        <v>598</v>
      </c>
      <c r="E147" s="88"/>
      <c r="F147" s="88"/>
      <c r="G147" s="88"/>
      <c r="H147" s="88"/>
      <c r="I147" s="88"/>
      <c r="J147" s="88"/>
      <c r="K147" s="88"/>
      <c r="L147" s="88"/>
      <c r="M147" s="88"/>
      <c r="N147" s="88"/>
    </row>
    <row r="148" spans="1:14" s="88" customFormat="1" ht="31.5" x14ac:dyDescent="0.25">
      <c r="A148" s="100" t="s">
        <v>105</v>
      </c>
      <c r="B148" s="98" t="s">
        <v>439</v>
      </c>
      <c r="C148" s="98" t="s">
        <v>106</v>
      </c>
      <c r="D148" s="99">
        <f>357+241</f>
        <v>598</v>
      </c>
      <c r="E148" s="87"/>
      <c r="F148" s="87"/>
      <c r="G148" s="87"/>
      <c r="H148" s="87"/>
      <c r="I148" s="87"/>
      <c r="J148" s="87"/>
      <c r="K148" s="87"/>
      <c r="L148" s="87"/>
      <c r="M148" s="87"/>
      <c r="N148" s="87"/>
    </row>
    <row r="149" spans="1:14" s="87" customFormat="1" ht="15.75" x14ac:dyDescent="0.25">
      <c r="A149" s="93" t="s">
        <v>179</v>
      </c>
      <c r="B149" s="94" t="s">
        <v>440</v>
      </c>
      <c r="C149" s="94"/>
      <c r="D149" s="95">
        <f>D150</f>
        <v>766.36900000000003</v>
      </c>
    </row>
    <row r="150" spans="1:14" s="87" customFormat="1" ht="31.5" x14ac:dyDescent="0.25">
      <c r="A150" s="100" t="s">
        <v>105</v>
      </c>
      <c r="B150" s="94" t="s">
        <v>440</v>
      </c>
      <c r="C150" s="94" t="s">
        <v>106</v>
      </c>
      <c r="D150" s="95">
        <f>105.105+661+0.264</f>
        <v>766.36900000000003</v>
      </c>
    </row>
    <row r="151" spans="1:14" s="87" customFormat="1" ht="15.75" x14ac:dyDescent="0.25">
      <c r="A151" s="93" t="s">
        <v>182</v>
      </c>
      <c r="B151" s="94" t="s">
        <v>441</v>
      </c>
      <c r="C151" s="94"/>
      <c r="D151" s="95">
        <f>D152</f>
        <v>43</v>
      </c>
      <c r="E151" s="88"/>
      <c r="F151" s="88"/>
      <c r="G151" s="88"/>
      <c r="H151" s="88"/>
      <c r="I151" s="88"/>
      <c r="J151" s="88"/>
      <c r="K151" s="88"/>
      <c r="L151" s="88"/>
      <c r="M151" s="88"/>
      <c r="N151" s="88"/>
    </row>
    <row r="152" spans="1:14" s="88" customFormat="1" ht="31.5" x14ac:dyDescent="0.25">
      <c r="A152" s="100" t="s">
        <v>105</v>
      </c>
      <c r="B152" s="94" t="s">
        <v>441</v>
      </c>
      <c r="C152" s="94" t="s">
        <v>106</v>
      </c>
      <c r="D152" s="95">
        <f>33+10</f>
        <v>43</v>
      </c>
    </row>
    <row r="153" spans="1:14" s="88" customFormat="1" ht="15.75" x14ac:dyDescent="0.25">
      <c r="A153" s="93" t="s">
        <v>183</v>
      </c>
      <c r="B153" s="94" t="s">
        <v>442</v>
      </c>
      <c r="C153" s="94"/>
      <c r="D153" s="95">
        <f>D154</f>
        <v>561.2829999999999</v>
      </c>
      <c r="E153" s="87"/>
      <c r="F153" s="87"/>
      <c r="G153" s="87"/>
      <c r="H153" s="87"/>
      <c r="I153" s="87"/>
      <c r="J153" s="87"/>
      <c r="K153" s="87"/>
      <c r="L153" s="87"/>
      <c r="M153" s="87"/>
      <c r="N153" s="87"/>
    </row>
    <row r="154" spans="1:14" s="87" customFormat="1" ht="31.5" x14ac:dyDescent="0.25">
      <c r="A154" s="100" t="s">
        <v>105</v>
      </c>
      <c r="B154" s="94" t="s">
        <v>442</v>
      </c>
      <c r="C154" s="94" t="s">
        <v>106</v>
      </c>
      <c r="D154" s="95">
        <f>425-116.037+166.32+86</f>
        <v>561.2829999999999</v>
      </c>
      <c r="E154" s="88"/>
      <c r="F154" s="88"/>
      <c r="G154" s="88"/>
      <c r="H154" s="88"/>
      <c r="I154" s="88"/>
      <c r="J154" s="88"/>
      <c r="K154" s="88"/>
      <c r="L154" s="88"/>
      <c r="M154" s="88"/>
      <c r="N154" s="88"/>
    </row>
    <row r="155" spans="1:14" s="88" customFormat="1" ht="15.75" x14ac:dyDescent="0.25">
      <c r="A155" s="93" t="s">
        <v>184</v>
      </c>
      <c r="B155" s="94" t="s">
        <v>443</v>
      </c>
      <c r="C155" s="94"/>
      <c r="D155" s="95">
        <f>D156</f>
        <v>2676</v>
      </c>
      <c r="E155" s="87"/>
      <c r="F155" s="87"/>
      <c r="G155" s="87"/>
      <c r="H155" s="87"/>
      <c r="I155" s="87"/>
      <c r="J155" s="87"/>
      <c r="K155" s="87"/>
      <c r="L155" s="87"/>
      <c r="M155" s="87"/>
      <c r="N155" s="87"/>
    </row>
    <row r="156" spans="1:14" s="87" customFormat="1" ht="31.5" x14ac:dyDescent="0.25">
      <c r="A156" s="100" t="s">
        <v>105</v>
      </c>
      <c r="B156" s="94" t="s">
        <v>443</v>
      </c>
      <c r="C156" s="94" t="s">
        <v>106</v>
      </c>
      <c r="D156" s="95">
        <f>76+2600</f>
        <v>2676</v>
      </c>
      <c r="E156" s="88"/>
      <c r="F156" s="88"/>
      <c r="G156" s="88"/>
      <c r="H156" s="88"/>
      <c r="I156" s="88"/>
      <c r="J156" s="88"/>
      <c r="K156" s="88"/>
      <c r="L156" s="88"/>
      <c r="M156" s="88"/>
      <c r="N156" s="88"/>
    </row>
    <row r="157" spans="1:14" s="88" customFormat="1" ht="31.5" x14ac:dyDescent="0.25">
      <c r="A157" s="93" t="s">
        <v>185</v>
      </c>
      <c r="B157" s="94" t="s">
        <v>472</v>
      </c>
      <c r="C157" s="94"/>
      <c r="D157" s="95">
        <v>8218.5</v>
      </c>
    </row>
    <row r="158" spans="1:14" s="88" customFormat="1" ht="31.5" x14ac:dyDescent="0.25">
      <c r="A158" s="93" t="s">
        <v>185</v>
      </c>
      <c r="B158" s="94" t="s">
        <v>444</v>
      </c>
      <c r="C158" s="94"/>
      <c r="D158" s="95">
        <v>8218.5</v>
      </c>
      <c r="E158" s="87"/>
      <c r="F158" s="87"/>
      <c r="G158" s="87"/>
      <c r="H158" s="87"/>
      <c r="I158" s="87"/>
      <c r="J158" s="87"/>
      <c r="K158" s="87"/>
      <c r="L158" s="87"/>
      <c r="M158" s="87"/>
      <c r="N158" s="87"/>
    </row>
    <row r="159" spans="1:14" s="87" customFormat="1" ht="31.5" x14ac:dyDescent="0.25">
      <c r="A159" s="100" t="s">
        <v>105</v>
      </c>
      <c r="B159" s="98" t="s">
        <v>444</v>
      </c>
      <c r="C159" s="94" t="s">
        <v>106</v>
      </c>
      <c r="D159" s="99">
        <v>8218.5</v>
      </c>
    </row>
    <row r="160" spans="1:14" s="87" customFormat="1" ht="15.75" x14ac:dyDescent="0.25">
      <c r="A160" s="93" t="s">
        <v>186</v>
      </c>
      <c r="B160" s="94" t="s">
        <v>445</v>
      </c>
      <c r="C160" s="94"/>
      <c r="D160" s="95">
        <v>300</v>
      </c>
      <c r="E160" s="88"/>
      <c r="F160" s="88"/>
      <c r="G160" s="88"/>
      <c r="H160" s="88"/>
      <c r="I160" s="88"/>
      <c r="J160" s="88"/>
      <c r="K160" s="88"/>
      <c r="L160" s="88"/>
      <c r="M160" s="88"/>
      <c r="N160" s="88"/>
    </row>
    <row r="161" spans="1:14" s="88" customFormat="1" ht="31.5" x14ac:dyDescent="0.25">
      <c r="A161" s="100" t="s">
        <v>105</v>
      </c>
      <c r="B161" s="94" t="s">
        <v>445</v>
      </c>
      <c r="C161" s="94" t="s">
        <v>106</v>
      </c>
      <c r="D161" s="95">
        <v>300</v>
      </c>
      <c r="E161" s="87"/>
      <c r="F161" s="87"/>
      <c r="G161" s="87"/>
      <c r="H161" s="87"/>
      <c r="I161" s="87"/>
      <c r="J161" s="87"/>
      <c r="K161" s="87"/>
      <c r="L161" s="87"/>
      <c r="M161" s="87"/>
      <c r="N161" s="87"/>
    </row>
    <row r="162" spans="1:14" s="87" customFormat="1" ht="15.75" x14ac:dyDescent="0.25">
      <c r="A162" s="93" t="s">
        <v>187</v>
      </c>
      <c r="B162" s="94" t="s">
        <v>446</v>
      </c>
      <c r="C162" s="94"/>
      <c r="D162" s="95">
        <f>D163+D165+D168+D170+D172+D174</f>
        <v>24370.106</v>
      </c>
    </row>
    <row r="163" spans="1:14" s="87" customFormat="1" ht="15.75" x14ac:dyDescent="0.25">
      <c r="A163" s="93" t="s">
        <v>188</v>
      </c>
      <c r="B163" s="94" t="s">
        <v>447</v>
      </c>
      <c r="C163" s="94"/>
      <c r="D163" s="95">
        <v>500</v>
      </c>
      <c r="E163" s="88"/>
      <c r="F163" s="88"/>
      <c r="G163" s="88"/>
      <c r="H163" s="88"/>
      <c r="I163" s="88"/>
      <c r="J163" s="88"/>
      <c r="K163" s="88"/>
      <c r="L163" s="88"/>
      <c r="M163" s="88"/>
      <c r="N163" s="88"/>
    </row>
    <row r="164" spans="1:14" s="88" customFormat="1" ht="15.75" x14ac:dyDescent="0.25">
      <c r="A164" s="100" t="s">
        <v>71</v>
      </c>
      <c r="B164" s="94" t="s">
        <v>447</v>
      </c>
      <c r="C164" s="94" t="s">
        <v>8</v>
      </c>
      <c r="D164" s="95">
        <v>500</v>
      </c>
      <c r="E164" s="87"/>
      <c r="F164" s="87"/>
      <c r="G164" s="87"/>
      <c r="H164" s="87"/>
      <c r="I164" s="87"/>
      <c r="J164" s="87"/>
      <c r="K164" s="87"/>
      <c r="L164" s="87"/>
      <c r="M164" s="87"/>
      <c r="N164" s="87"/>
    </row>
    <row r="165" spans="1:14" s="87" customFormat="1" ht="15.75" x14ac:dyDescent="0.25">
      <c r="A165" s="93" t="s">
        <v>474</v>
      </c>
      <c r="B165" s="94" t="s">
        <v>473</v>
      </c>
      <c r="C165" s="94"/>
      <c r="D165" s="95">
        <v>1006.274</v>
      </c>
      <c r="E165" s="88"/>
      <c r="F165" s="88"/>
      <c r="G165" s="88"/>
      <c r="H165" s="88"/>
      <c r="I165" s="88"/>
      <c r="J165" s="88"/>
      <c r="K165" s="88"/>
      <c r="L165" s="88"/>
      <c r="M165" s="88"/>
      <c r="N165" s="88"/>
    </row>
    <row r="166" spans="1:14" s="88" customFormat="1" ht="31.5" x14ac:dyDescent="0.25">
      <c r="A166" s="93" t="s">
        <v>189</v>
      </c>
      <c r="B166" s="94" t="s">
        <v>448</v>
      </c>
      <c r="C166" s="94"/>
      <c r="D166" s="95">
        <v>1006.274</v>
      </c>
      <c r="E166" s="87"/>
      <c r="F166" s="87"/>
      <c r="G166" s="87"/>
      <c r="H166" s="87"/>
      <c r="I166" s="87"/>
      <c r="J166" s="87"/>
      <c r="K166" s="87"/>
      <c r="L166" s="87"/>
      <c r="M166" s="87"/>
      <c r="N166" s="87"/>
    </row>
    <row r="167" spans="1:14" s="87" customFormat="1" ht="15.75" x14ac:dyDescent="0.25">
      <c r="A167" s="100" t="s">
        <v>71</v>
      </c>
      <c r="B167" s="98" t="s">
        <v>448</v>
      </c>
      <c r="C167" s="94" t="s">
        <v>8</v>
      </c>
      <c r="D167" s="99">
        <v>1006.274</v>
      </c>
      <c r="E167" s="88"/>
      <c r="F167" s="88"/>
      <c r="G167" s="88"/>
      <c r="H167" s="88"/>
      <c r="I167" s="88"/>
      <c r="J167" s="88"/>
      <c r="K167" s="88"/>
      <c r="L167" s="88"/>
      <c r="M167" s="88"/>
      <c r="N167" s="88"/>
    </row>
    <row r="168" spans="1:14" s="88" customFormat="1" ht="31.5" x14ac:dyDescent="0.25">
      <c r="A168" s="93" t="s">
        <v>174</v>
      </c>
      <c r="B168" s="94" t="s">
        <v>449</v>
      </c>
      <c r="C168" s="94"/>
      <c r="D168" s="95">
        <f>D169</f>
        <v>18113.954999999998</v>
      </c>
    </row>
    <row r="169" spans="1:14" s="88" customFormat="1" ht="31.5" x14ac:dyDescent="0.25">
      <c r="A169" s="100" t="s">
        <v>105</v>
      </c>
      <c r="B169" s="94" t="s">
        <v>449</v>
      </c>
      <c r="C169" s="94" t="s">
        <v>106</v>
      </c>
      <c r="D169" s="95">
        <f>18115.206-1.251</f>
        <v>18113.954999999998</v>
      </c>
    </row>
    <row r="170" spans="1:14" s="88" customFormat="1" ht="31.5" x14ac:dyDescent="0.25">
      <c r="A170" s="93" t="s">
        <v>117</v>
      </c>
      <c r="B170" s="94" t="s">
        <v>450</v>
      </c>
      <c r="C170" s="94"/>
      <c r="D170" s="95">
        <f>D171</f>
        <v>4074.66</v>
      </c>
      <c r="E170" s="87"/>
      <c r="F170" s="87"/>
      <c r="G170" s="87"/>
      <c r="H170" s="87"/>
      <c r="I170" s="87"/>
      <c r="J170" s="87"/>
      <c r="K170" s="87"/>
      <c r="L170" s="87"/>
      <c r="M170" s="87"/>
      <c r="N170" s="87"/>
    </row>
    <row r="171" spans="1:14" s="87" customFormat="1" ht="31.5" x14ac:dyDescent="0.25">
      <c r="A171" s="100" t="s">
        <v>105</v>
      </c>
      <c r="B171" s="98" t="s">
        <v>450</v>
      </c>
      <c r="C171" s="94" t="s">
        <v>106</v>
      </c>
      <c r="D171" s="99">
        <f>4074.66</f>
        <v>4074.66</v>
      </c>
    </row>
    <row r="172" spans="1:14" s="87" customFormat="1" ht="31.5" x14ac:dyDescent="0.25">
      <c r="A172" s="93" t="s">
        <v>124</v>
      </c>
      <c r="B172" s="94" t="s">
        <v>451</v>
      </c>
      <c r="C172" s="94"/>
      <c r="D172" s="95">
        <v>8.5500000000000007</v>
      </c>
      <c r="E172" s="88"/>
      <c r="F172" s="88"/>
      <c r="G172" s="88"/>
      <c r="H172" s="88"/>
      <c r="I172" s="88"/>
      <c r="J172" s="88"/>
      <c r="K172" s="88"/>
      <c r="L172" s="88"/>
      <c r="M172" s="88"/>
      <c r="N172" s="88"/>
    </row>
    <row r="173" spans="1:14" s="88" customFormat="1" ht="31.5" x14ac:dyDescent="0.25">
      <c r="A173" s="100" t="s">
        <v>105</v>
      </c>
      <c r="B173" s="98" t="s">
        <v>451</v>
      </c>
      <c r="C173" s="94" t="s">
        <v>106</v>
      </c>
      <c r="D173" s="99">
        <v>8.5500000000000007</v>
      </c>
      <c r="E173" s="87"/>
      <c r="F173" s="87"/>
      <c r="G173" s="87"/>
      <c r="H173" s="87"/>
      <c r="I173" s="87"/>
      <c r="J173" s="87"/>
      <c r="K173" s="87"/>
      <c r="L173" s="87"/>
      <c r="M173" s="87"/>
      <c r="N173" s="87"/>
    </row>
    <row r="174" spans="1:14" s="87" customFormat="1" ht="15.75" x14ac:dyDescent="0.25">
      <c r="A174" s="93" t="s">
        <v>476</v>
      </c>
      <c r="B174" s="94" t="s">
        <v>475</v>
      </c>
      <c r="C174" s="94"/>
      <c r="D174" s="95">
        <v>666.66700000000003</v>
      </c>
    </row>
    <row r="175" spans="1:14" s="87" customFormat="1" ht="31.5" x14ac:dyDescent="0.25">
      <c r="A175" s="93" t="s">
        <v>190</v>
      </c>
      <c r="B175" s="94" t="s">
        <v>452</v>
      </c>
      <c r="C175" s="94"/>
      <c r="D175" s="95">
        <v>666.66700000000003</v>
      </c>
      <c r="E175" s="88"/>
      <c r="F175" s="88"/>
      <c r="G175" s="88"/>
      <c r="H175" s="88"/>
      <c r="I175" s="88"/>
      <c r="J175" s="88"/>
      <c r="K175" s="88"/>
      <c r="L175" s="88"/>
      <c r="M175" s="88"/>
      <c r="N175" s="88"/>
    </row>
    <row r="176" spans="1:14" s="88" customFormat="1" ht="31.5" x14ac:dyDescent="0.25">
      <c r="A176" s="100" t="s">
        <v>105</v>
      </c>
      <c r="B176" s="98" t="s">
        <v>452</v>
      </c>
      <c r="C176" s="94" t="s">
        <v>106</v>
      </c>
      <c r="D176" s="99">
        <v>666.66700000000003</v>
      </c>
      <c r="E176" s="87"/>
      <c r="F176" s="87"/>
      <c r="G176" s="87"/>
      <c r="H176" s="87"/>
      <c r="I176" s="87"/>
      <c r="J176" s="87"/>
      <c r="K176" s="87"/>
      <c r="L176" s="87"/>
      <c r="M176" s="87"/>
      <c r="N176" s="87"/>
    </row>
    <row r="177" spans="1:14" s="87" customFormat="1" ht="15.75" x14ac:dyDescent="0.25">
      <c r="A177" s="93" t="s">
        <v>191</v>
      </c>
      <c r="B177" s="94" t="s">
        <v>453</v>
      </c>
      <c r="C177" s="94"/>
      <c r="D177" s="95">
        <f>D178+D180+D182</f>
        <v>1304.1659999999999</v>
      </c>
      <c r="E177" s="88"/>
      <c r="F177" s="88"/>
      <c r="G177" s="88"/>
      <c r="H177" s="88"/>
      <c r="I177" s="88"/>
      <c r="J177" s="88"/>
      <c r="K177" s="88"/>
      <c r="L177" s="88"/>
      <c r="M177" s="88"/>
      <c r="N177" s="88"/>
    </row>
    <row r="178" spans="1:14" s="88" customFormat="1" ht="15.75" x14ac:dyDescent="0.25">
      <c r="A178" s="93" t="s">
        <v>192</v>
      </c>
      <c r="B178" s="94" t="s">
        <v>454</v>
      </c>
      <c r="C178" s="94"/>
      <c r="D178" s="95">
        <f>D179</f>
        <v>15.599999999999994</v>
      </c>
      <c r="E178" s="87"/>
      <c r="F178" s="87"/>
      <c r="G178" s="87"/>
      <c r="H178" s="87"/>
      <c r="I178" s="87"/>
      <c r="J178" s="87"/>
      <c r="K178" s="87"/>
      <c r="L178" s="87"/>
      <c r="M178" s="87"/>
      <c r="N178" s="87"/>
    </row>
    <row r="179" spans="1:14" s="87" customFormat="1" ht="31.5" x14ac:dyDescent="0.25">
      <c r="A179" s="100" t="s">
        <v>105</v>
      </c>
      <c r="B179" s="94" t="s">
        <v>454</v>
      </c>
      <c r="C179" s="94" t="s">
        <v>106</v>
      </c>
      <c r="D179" s="95">
        <f>200-184.4</f>
        <v>15.599999999999994</v>
      </c>
    </row>
    <row r="180" spans="1:14" s="87" customFormat="1" ht="15.75" x14ac:dyDescent="0.25">
      <c r="A180" s="93" t="s">
        <v>193</v>
      </c>
      <c r="B180" s="94" t="s">
        <v>455</v>
      </c>
      <c r="C180" s="94"/>
      <c r="D180" s="95">
        <v>1143.5</v>
      </c>
      <c r="E180" s="88"/>
      <c r="F180" s="88"/>
      <c r="G180" s="88"/>
      <c r="H180" s="88"/>
      <c r="I180" s="88"/>
      <c r="J180" s="88"/>
      <c r="K180" s="88"/>
      <c r="L180" s="88"/>
      <c r="M180" s="88"/>
      <c r="N180" s="88"/>
    </row>
    <row r="181" spans="1:14" s="88" customFormat="1" ht="31.5" x14ac:dyDescent="0.25">
      <c r="A181" s="100" t="s">
        <v>105</v>
      </c>
      <c r="B181" s="98" t="s">
        <v>455</v>
      </c>
      <c r="C181" s="98" t="s">
        <v>106</v>
      </c>
      <c r="D181" s="99">
        <v>1143.5</v>
      </c>
      <c r="E181" s="87"/>
      <c r="F181" s="87"/>
      <c r="G181" s="87"/>
      <c r="H181" s="87"/>
      <c r="I181" s="87"/>
      <c r="J181" s="87"/>
      <c r="K181" s="87"/>
      <c r="L181" s="87"/>
      <c r="M181" s="87"/>
      <c r="N181" s="87"/>
    </row>
    <row r="182" spans="1:14" s="87" customFormat="1" ht="15.75" x14ac:dyDescent="0.25">
      <c r="A182" s="93" t="s">
        <v>194</v>
      </c>
      <c r="B182" s="94" t="s">
        <v>456</v>
      </c>
      <c r="C182" s="94"/>
      <c r="D182" s="95">
        <f>D183</f>
        <v>145.066</v>
      </c>
      <c r="E182" s="88"/>
      <c r="F182" s="88"/>
      <c r="G182" s="88"/>
      <c r="H182" s="88"/>
      <c r="I182" s="88"/>
      <c r="J182" s="88"/>
      <c r="K182" s="88"/>
      <c r="L182" s="88"/>
      <c r="M182" s="88"/>
      <c r="N182" s="88"/>
    </row>
    <row r="183" spans="1:14" s="88" customFormat="1" ht="31.5" x14ac:dyDescent="0.25">
      <c r="A183" s="100" t="s">
        <v>105</v>
      </c>
      <c r="B183" s="94" t="s">
        <v>456</v>
      </c>
      <c r="C183" s="94" t="s">
        <v>106</v>
      </c>
      <c r="D183" s="95">
        <f>156.65-11.584</f>
        <v>145.066</v>
      </c>
      <c r="E183" s="87"/>
      <c r="F183" s="87"/>
      <c r="G183" s="87"/>
      <c r="H183" s="87"/>
      <c r="I183" s="87"/>
      <c r="J183" s="87"/>
      <c r="K183" s="87"/>
      <c r="L183" s="87"/>
      <c r="M183" s="87"/>
      <c r="N183" s="87"/>
    </row>
    <row r="184" spans="1:14" s="87" customFormat="1" ht="15.75" x14ac:dyDescent="0.25">
      <c r="A184" s="93" t="s">
        <v>195</v>
      </c>
      <c r="B184" s="94" t="s">
        <v>457</v>
      </c>
      <c r="C184" s="94"/>
      <c r="D184" s="95">
        <f>D185</f>
        <v>20091.244000000002</v>
      </c>
    </row>
    <row r="185" spans="1:14" s="87" customFormat="1" ht="15.75" x14ac:dyDescent="0.25">
      <c r="A185" s="93" t="s">
        <v>196</v>
      </c>
      <c r="B185" s="94" t="s">
        <v>458</v>
      </c>
      <c r="C185" s="94"/>
      <c r="D185" s="95">
        <f>D186+D187+D188</f>
        <v>20091.244000000002</v>
      </c>
      <c r="E185" s="88"/>
      <c r="F185" s="88"/>
      <c r="G185" s="88"/>
      <c r="H185" s="88"/>
      <c r="I185" s="88"/>
      <c r="J185" s="88"/>
      <c r="K185" s="88"/>
      <c r="L185" s="88"/>
      <c r="M185" s="88"/>
      <c r="N185" s="88"/>
    </row>
    <row r="186" spans="1:14" s="88" customFormat="1" ht="47.25" x14ac:dyDescent="0.25">
      <c r="A186" s="93" t="s">
        <v>29</v>
      </c>
      <c r="B186" s="94" t="s">
        <v>458</v>
      </c>
      <c r="C186" s="94" t="s">
        <v>30</v>
      </c>
      <c r="D186" s="95">
        <f>16636.627+311.609+1428.97</f>
        <v>18377.206000000002</v>
      </c>
    </row>
    <row r="187" spans="1:14" s="87" customFormat="1" ht="15.75" x14ac:dyDescent="0.25">
      <c r="A187" s="100" t="s">
        <v>33</v>
      </c>
      <c r="B187" s="98" t="s">
        <v>458</v>
      </c>
      <c r="C187" s="94" t="s">
        <v>7</v>
      </c>
      <c r="D187" s="99">
        <f>20+1646.038+14.897</f>
        <v>1680.9349999999999</v>
      </c>
      <c r="E187" s="90"/>
      <c r="F187" s="90"/>
      <c r="G187" s="90"/>
      <c r="H187" s="90"/>
      <c r="I187" s="90"/>
      <c r="J187" s="90"/>
      <c r="K187" s="90"/>
      <c r="L187" s="90"/>
      <c r="M187" s="90"/>
      <c r="N187" s="90"/>
    </row>
    <row r="188" spans="1:14" s="87" customFormat="1" ht="15.75" x14ac:dyDescent="0.25">
      <c r="A188" s="100" t="s">
        <v>196</v>
      </c>
      <c r="B188" s="98" t="s">
        <v>458</v>
      </c>
      <c r="C188" s="94" t="s">
        <v>44</v>
      </c>
      <c r="D188" s="99">
        <f>48-14.897</f>
        <v>33.103000000000002</v>
      </c>
    </row>
    <row r="189" spans="1:14" s="87" customFormat="1" ht="15.75" x14ac:dyDescent="0.25">
      <c r="A189" s="101" t="s">
        <v>114</v>
      </c>
      <c r="B189" s="102" t="s">
        <v>297</v>
      </c>
      <c r="C189" s="102"/>
      <c r="D189" s="103">
        <f>111140.339+1000</f>
        <v>112140.33900000001</v>
      </c>
      <c r="E189" s="88"/>
      <c r="F189" s="88"/>
      <c r="G189" s="88"/>
      <c r="H189" s="88"/>
      <c r="I189" s="88"/>
      <c r="J189" s="88"/>
      <c r="K189" s="88"/>
      <c r="L189" s="88"/>
      <c r="M189" s="88"/>
      <c r="N189" s="88"/>
    </row>
    <row r="190" spans="1:14" s="88" customFormat="1" ht="15.75" x14ac:dyDescent="0.25">
      <c r="A190" s="93" t="s">
        <v>115</v>
      </c>
      <c r="B190" s="94" t="s">
        <v>298</v>
      </c>
      <c r="C190" s="94"/>
      <c r="D190" s="95">
        <f>D191+D193</f>
        <v>14657.2</v>
      </c>
    </row>
    <row r="191" spans="1:14" s="88" customFormat="1" ht="15.75" x14ac:dyDescent="0.25">
      <c r="A191" s="93" t="s">
        <v>116</v>
      </c>
      <c r="B191" s="94" t="s">
        <v>299</v>
      </c>
      <c r="C191" s="94"/>
      <c r="D191" s="95">
        <f>D192</f>
        <v>12705.156000000001</v>
      </c>
      <c r="E191" s="87"/>
      <c r="F191" s="87"/>
      <c r="G191" s="87"/>
      <c r="H191" s="87"/>
      <c r="I191" s="87"/>
      <c r="J191" s="87"/>
      <c r="K191" s="87"/>
      <c r="L191" s="87"/>
      <c r="M191" s="87"/>
      <c r="N191" s="87"/>
    </row>
    <row r="192" spans="1:14" s="87" customFormat="1" ht="31.5" x14ac:dyDescent="0.25">
      <c r="A192" s="100" t="s">
        <v>105</v>
      </c>
      <c r="B192" s="94" t="s">
        <v>299</v>
      </c>
      <c r="C192" s="94" t="s">
        <v>106</v>
      </c>
      <c r="D192" s="95">
        <f>12705.156</f>
        <v>12705.156000000001</v>
      </c>
    </row>
    <row r="193" spans="1:14" s="87" customFormat="1" ht="31.5" x14ac:dyDescent="0.25">
      <c r="A193" s="93" t="s">
        <v>117</v>
      </c>
      <c r="B193" s="94" t="s">
        <v>300</v>
      </c>
      <c r="C193" s="94"/>
      <c r="D193" s="95">
        <v>1952.0440000000001</v>
      </c>
      <c r="E193" s="88"/>
      <c r="F193" s="88"/>
      <c r="G193" s="88"/>
      <c r="H193" s="88"/>
      <c r="I193" s="88"/>
      <c r="J193" s="88"/>
      <c r="K193" s="88"/>
      <c r="L193" s="88"/>
      <c r="M193" s="88"/>
      <c r="N193" s="88"/>
    </row>
    <row r="194" spans="1:14" s="88" customFormat="1" ht="31.5" x14ac:dyDescent="0.25">
      <c r="A194" s="100" t="s">
        <v>105</v>
      </c>
      <c r="B194" s="98" t="s">
        <v>300</v>
      </c>
      <c r="C194" s="94" t="s">
        <v>106</v>
      </c>
      <c r="D194" s="99">
        <v>1952.0440000000001</v>
      </c>
      <c r="E194" s="87"/>
      <c r="F194" s="87"/>
      <c r="G194" s="87"/>
      <c r="H194" s="87"/>
      <c r="I194" s="87"/>
      <c r="J194" s="87"/>
      <c r="K194" s="87"/>
      <c r="L194" s="87"/>
      <c r="M194" s="87"/>
      <c r="N194" s="87"/>
    </row>
    <row r="195" spans="1:14" s="87" customFormat="1" ht="15.75" x14ac:dyDescent="0.25">
      <c r="A195" s="93" t="s">
        <v>118</v>
      </c>
      <c r="B195" s="94" t="s">
        <v>301</v>
      </c>
      <c r="C195" s="94"/>
      <c r="D195" s="95">
        <f>D196+D198+D200+D202+D204+D206</f>
        <v>19496.01686</v>
      </c>
      <c r="E195" s="88"/>
      <c r="F195" s="88"/>
      <c r="G195" s="88"/>
      <c r="H195" s="88"/>
      <c r="I195" s="88"/>
      <c r="J195" s="88"/>
      <c r="K195" s="88"/>
      <c r="L195" s="88"/>
      <c r="M195" s="88"/>
      <c r="N195" s="88"/>
    </row>
    <row r="196" spans="1:14" s="88" customFormat="1" ht="15.75" x14ac:dyDescent="0.25">
      <c r="A196" s="93" t="s">
        <v>478</v>
      </c>
      <c r="B196" s="94" t="s">
        <v>477</v>
      </c>
      <c r="C196" s="94"/>
      <c r="D196" s="95">
        <v>281.09500000000003</v>
      </c>
      <c r="E196" s="87"/>
      <c r="F196" s="87"/>
      <c r="G196" s="87"/>
      <c r="H196" s="87"/>
      <c r="I196" s="87"/>
      <c r="J196" s="87"/>
      <c r="K196" s="87"/>
      <c r="L196" s="87"/>
      <c r="M196" s="87"/>
      <c r="N196" s="87"/>
    </row>
    <row r="197" spans="1:14" s="87" customFormat="1" ht="31.5" x14ac:dyDescent="0.25">
      <c r="A197" s="100" t="s">
        <v>105</v>
      </c>
      <c r="B197" s="94" t="s">
        <v>302</v>
      </c>
      <c r="C197" s="94" t="s">
        <v>106</v>
      </c>
      <c r="D197" s="95">
        <v>281.09500000000003</v>
      </c>
      <c r="E197" s="88"/>
      <c r="F197" s="88"/>
      <c r="G197" s="88"/>
      <c r="H197" s="88"/>
      <c r="I197" s="88"/>
      <c r="J197" s="88"/>
      <c r="K197" s="88"/>
      <c r="L197" s="88"/>
      <c r="M197" s="88"/>
      <c r="N197" s="88"/>
    </row>
    <row r="198" spans="1:14" s="88" customFormat="1" ht="15.75" x14ac:dyDescent="0.25">
      <c r="A198" s="93" t="s">
        <v>120</v>
      </c>
      <c r="B198" s="94" t="s">
        <v>303</v>
      </c>
      <c r="C198" s="94"/>
      <c r="D198" s="95">
        <f>D199</f>
        <v>80</v>
      </c>
      <c r="E198" s="87"/>
      <c r="F198" s="87"/>
      <c r="G198" s="87"/>
      <c r="H198" s="87"/>
      <c r="I198" s="87"/>
      <c r="J198" s="87"/>
      <c r="K198" s="87"/>
      <c r="L198" s="87"/>
      <c r="M198" s="87"/>
      <c r="N198" s="87"/>
    </row>
    <row r="199" spans="1:14" s="87" customFormat="1" ht="31.5" x14ac:dyDescent="0.25">
      <c r="A199" s="100" t="s">
        <v>105</v>
      </c>
      <c r="B199" s="94" t="s">
        <v>303</v>
      </c>
      <c r="C199" s="94" t="s">
        <v>106</v>
      </c>
      <c r="D199" s="95">
        <f>72.58+7.42</f>
        <v>80</v>
      </c>
      <c r="E199" s="88"/>
      <c r="F199" s="88"/>
      <c r="G199" s="88"/>
      <c r="H199" s="88"/>
      <c r="I199" s="88"/>
      <c r="J199" s="88"/>
      <c r="K199" s="88"/>
      <c r="L199" s="88"/>
      <c r="M199" s="88"/>
      <c r="N199" s="88"/>
    </row>
    <row r="200" spans="1:14" s="88" customFormat="1" ht="15.75" x14ac:dyDescent="0.25">
      <c r="A200" s="93" t="s">
        <v>121</v>
      </c>
      <c r="B200" s="94" t="s">
        <v>304</v>
      </c>
      <c r="C200" s="94"/>
      <c r="D200" s="95">
        <v>5</v>
      </c>
      <c r="E200" s="87"/>
      <c r="F200" s="87"/>
      <c r="G200" s="87"/>
      <c r="H200" s="87"/>
      <c r="I200" s="87"/>
      <c r="J200" s="87"/>
      <c r="K200" s="87"/>
      <c r="L200" s="87"/>
      <c r="M200" s="87"/>
      <c r="N200" s="87"/>
    </row>
    <row r="201" spans="1:14" s="87" customFormat="1" ht="31.5" x14ac:dyDescent="0.25">
      <c r="A201" s="100" t="s">
        <v>105</v>
      </c>
      <c r="B201" s="94" t="s">
        <v>304</v>
      </c>
      <c r="C201" s="94" t="s">
        <v>106</v>
      </c>
      <c r="D201" s="95">
        <v>5</v>
      </c>
      <c r="E201" s="88"/>
      <c r="F201" s="88"/>
      <c r="G201" s="88"/>
      <c r="H201" s="88"/>
      <c r="I201" s="88"/>
      <c r="J201" s="88"/>
      <c r="K201" s="88"/>
      <c r="L201" s="88"/>
      <c r="M201" s="88"/>
      <c r="N201" s="88"/>
    </row>
    <row r="202" spans="1:14" s="88" customFormat="1" ht="15.75" x14ac:dyDescent="0.25">
      <c r="A202" s="93" t="s">
        <v>122</v>
      </c>
      <c r="B202" s="94" t="s">
        <v>305</v>
      </c>
      <c r="C202" s="94"/>
      <c r="D202" s="95">
        <f>D203</f>
        <v>12743.52586</v>
      </c>
      <c r="E202" s="87"/>
      <c r="F202" s="87"/>
      <c r="G202" s="87"/>
      <c r="H202" s="87"/>
      <c r="I202" s="87"/>
      <c r="J202" s="87"/>
      <c r="K202" s="87"/>
      <c r="L202" s="87"/>
      <c r="M202" s="87"/>
      <c r="N202" s="87"/>
    </row>
    <row r="203" spans="1:14" s="87" customFormat="1" ht="31.5" x14ac:dyDescent="0.25">
      <c r="A203" s="100" t="s">
        <v>105</v>
      </c>
      <c r="B203" s="94" t="s">
        <v>305</v>
      </c>
      <c r="C203" s="94" t="s">
        <v>106</v>
      </c>
      <c r="D203" s="95">
        <f>12412.697+330.82886</f>
        <v>12743.52586</v>
      </c>
      <c r="E203" s="88"/>
      <c r="F203" s="88"/>
      <c r="G203" s="88"/>
      <c r="H203" s="88"/>
      <c r="I203" s="88"/>
      <c r="J203" s="88"/>
      <c r="K203" s="88"/>
      <c r="L203" s="88"/>
      <c r="M203" s="88"/>
      <c r="N203" s="88"/>
    </row>
    <row r="204" spans="1:14" s="88" customFormat="1" ht="31.5" x14ac:dyDescent="0.25">
      <c r="A204" s="93" t="s">
        <v>123</v>
      </c>
      <c r="B204" s="94" t="s">
        <v>306</v>
      </c>
      <c r="C204" s="94"/>
      <c r="D204" s="95">
        <v>6381.4059999999999</v>
      </c>
      <c r="E204" s="87"/>
      <c r="F204" s="87"/>
      <c r="G204" s="87"/>
      <c r="H204" s="87"/>
      <c r="I204" s="87"/>
      <c r="J204" s="87"/>
      <c r="K204" s="87"/>
      <c r="L204" s="87"/>
      <c r="M204" s="87"/>
      <c r="N204" s="87"/>
    </row>
    <row r="205" spans="1:14" s="87" customFormat="1" ht="31.5" x14ac:dyDescent="0.25">
      <c r="A205" s="100" t="s">
        <v>105</v>
      </c>
      <c r="B205" s="98" t="s">
        <v>306</v>
      </c>
      <c r="C205" s="94" t="s">
        <v>106</v>
      </c>
      <c r="D205" s="99">
        <v>6381.4059999999999</v>
      </c>
      <c r="E205" s="88"/>
      <c r="F205" s="88"/>
      <c r="G205" s="88"/>
      <c r="H205" s="88"/>
      <c r="I205" s="88"/>
      <c r="J205" s="88"/>
      <c r="K205" s="88"/>
      <c r="L205" s="88"/>
      <c r="M205" s="88"/>
      <c r="N205" s="88"/>
    </row>
    <row r="206" spans="1:14" s="88" customFormat="1" ht="31.5" x14ac:dyDescent="0.25">
      <c r="A206" s="93" t="s">
        <v>124</v>
      </c>
      <c r="B206" s="94" t="s">
        <v>307</v>
      </c>
      <c r="C206" s="94"/>
      <c r="D206" s="95">
        <v>4.99</v>
      </c>
    </row>
    <row r="207" spans="1:14" s="88" customFormat="1" ht="31.5" x14ac:dyDescent="0.25">
      <c r="A207" s="100" t="s">
        <v>105</v>
      </c>
      <c r="B207" s="98" t="s">
        <v>307</v>
      </c>
      <c r="C207" s="94" t="s">
        <v>106</v>
      </c>
      <c r="D207" s="99">
        <v>4.99</v>
      </c>
    </row>
    <row r="208" spans="1:14" s="88" customFormat="1" ht="15.75" x14ac:dyDescent="0.25">
      <c r="A208" s="93" t="s">
        <v>125</v>
      </c>
      <c r="B208" s="94" t="s">
        <v>308</v>
      </c>
      <c r="C208" s="94"/>
      <c r="D208" s="95">
        <f>D209+D211+D213</f>
        <v>3252.6697300000001</v>
      </c>
      <c r="E208" s="87"/>
      <c r="F208" s="87"/>
      <c r="G208" s="87"/>
      <c r="H208" s="87"/>
      <c r="I208" s="87"/>
      <c r="J208" s="87"/>
      <c r="K208" s="87"/>
      <c r="L208" s="87"/>
      <c r="M208" s="87"/>
      <c r="N208" s="87"/>
    </row>
    <row r="209" spans="1:14" s="87" customFormat="1" ht="15.75" x14ac:dyDescent="0.25">
      <c r="A209" s="93" t="s">
        <v>122</v>
      </c>
      <c r="B209" s="94" t="s">
        <v>309</v>
      </c>
      <c r="C209" s="94"/>
      <c r="D209" s="95">
        <f>D210</f>
        <v>1814.2837300000001</v>
      </c>
    </row>
    <row r="210" spans="1:14" s="87" customFormat="1" ht="31.5" x14ac:dyDescent="0.25">
      <c r="A210" s="100" t="s">
        <v>105</v>
      </c>
      <c r="B210" s="94" t="s">
        <v>309</v>
      </c>
      <c r="C210" s="94" t="s">
        <v>106</v>
      </c>
      <c r="D210" s="95">
        <f>1354.299+25+434.98473</f>
        <v>1814.2837300000001</v>
      </c>
    </row>
    <row r="211" spans="1:14" s="87" customFormat="1" ht="31.5" x14ac:dyDescent="0.25">
      <c r="A211" s="93" t="s">
        <v>123</v>
      </c>
      <c r="B211" s="94" t="s">
        <v>310</v>
      </c>
      <c r="C211" s="94"/>
      <c r="D211" s="95">
        <v>1438.078</v>
      </c>
      <c r="E211" s="88"/>
      <c r="F211" s="88"/>
      <c r="G211" s="88"/>
      <c r="H211" s="88"/>
      <c r="I211" s="88"/>
      <c r="J211" s="88"/>
      <c r="K211" s="88"/>
      <c r="L211" s="88"/>
      <c r="M211" s="88"/>
      <c r="N211" s="88"/>
    </row>
    <row r="212" spans="1:14" s="88" customFormat="1" ht="31.5" x14ac:dyDescent="0.25">
      <c r="A212" s="100" t="s">
        <v>105</v>
      </c>
      <c r="B212" s="98" t="s">
        <v>310</v>
      </c>
      <c r="C212" s="94" t="s">
        <v>106</v>
      </c>
      <c r="D212" s="99">
        <v>1438.078</v>
      </c>
    </row>
    <row r="213" spans="1:14" s="88" customFormat="1" ht="31.5" x14ac:dyDescent="0.25">
      <c r="A213" s="93" t="s">
        <v>124</v>
      </c>
      <c r="B213" s="94" t="s">
        <v>311</v>
      </c>
      <c r="C213" s="94"/>
      <c r="D213" s="95">
        <v>0.308</v>
      </c>
      <c r="E213" s="87"/>
      <c r="F213" s="87"/>
      <c r="G213" s="87"/>
      <c r="H213" s="87"/>
      <c r="I213" s="87"/>
      <c r="J213" s="87"/>
      <c r="K213" s="87"/>
      <c r="L213" s="87"/>
      <c r="M213" s="87"/>
      <c r="N213" s="87"/>
    </row>
    <row r="214" spans="1:14" s="87" customFormat="1" ht="31.5" x14ac:dyDescent="0.25">
      <c r="A214" s="100" t="s">
        <v>105</v>
      </c>
      <c r="B214" s="98" t="s">
        <v>311</v>
      </c>
      <c r="C214" s="94" t="s">
        <v>106</v>
      </c>
      <c r="D214" s="99">
        <v>0.308</v>
      </c>
    </row>
    <row r="215" spans="1:14" s="87" customFormat="1" ht="15.75" x14ac:dyDescent="0.25">
      <c r="A215" s="93" t="s">
        <v>126</v>
      </c>
      <c r="B215" s="94" t="s">
        <v>312</v>
      </c>
      <c r="C215" s="94"/>
      <c r="D215" s="95">
        <f>D216+D217+D219+D221+D223+D227+D229+D232+D225</f>
        <v>37737.498999999996</v>
      </c>
      <c r="E215" s="88"/>
      <c r="F215" s="88"/>
      <c r="G215" s="88"/>
      <c r="H215" s="88"/>
      <c r="I215" s="88"/>
      <c r="J215" s="88"/>
      <c r="K215" s="88"/>
      <c r="L215" s="88"/>
      <c r="M215" s="88"/>
      <c r="N215" s="88"/>
    </row>
    <row r="216" spans="1:14" s="88" customFormat="1" ht="31.5" x14ac:dyDescent="0.25">
      <c r="A216" s="100" t="s">
        <v>105</v>
      </c>
      <c r="B216" s="94" t="s">
        <v>313</v>
      </c>
      <c r="C216" s="94" t="s">
        <v>106</v>
      </c>
      <c r="D216" s="95">
        <v>31.826000000000001</v>
      </c>
      <c r="E216" s="87"/>
      <c r="F216" s="87"/>
      <c r="G216" s="87"/>
      <c r="H216" s="87"/>
      <c r="I216" s="87"/>
      <c r="J216" s="87"/>
      <c r="K216" s="87"/>
      <c r="L216" s="87"/>
      <c r="M216" s="87"/>
      <c r="N216" s="87"/>
    </row>
    <row r="217" spans="1:14" s="87" customFormat="1" ht="15.75" x14ac:dyDescent="0.25">
      <c r="A217" s="93" t="s">
        <v>127</v>
      </c>
      <c r="B217" s="94" t="s">
        <v>314</v>
      </c>
      <c r="C217" s="94"/>
      <c r="D217" s="95">
        <f>D218</f>
        <v>21155.302</v>
      </c>
    </row>
    <row r="218" spans="1:14" s="87" customFormat="1" ht="31.5" x14ac:dyDescent="0.25">
      <c r="A218" s="100" t="s">
        <v>105</v>
      </c>
      <c r="B218" s="94" t="s">
        <v>314</v>
      </c>
      <c r="C218" s="94" t="s">
        <v>106</v>
      </c>
      <c r="D218" s="95">
        <f>20199.828+870+85.474</f>
        <v>21155.302</v>
      </c>
    </row>
    <row r="219" spans="1:14" s="87" customFormat="1" ht="31.5" x14ac:dyDescent="0.25">
      <c r="A219" s="93" t="s">
        <v>123</v>
      </c>
      <c r="B219" s="94" t="s">
        <v>315</v>
      </c>
      <c r="C219" s="94"/>
      <c r="D219" s="95">
        <v>7030.6030000000001</v>
      </c>
      <c r="E219" s="88"/>
      <c r="F219" s="88"/>
      <c r="G219" s="88"/>
      <c r="H219" s="88"/>
      <c r="I219" s="88"/>
      <c r="J219" s="88"/>
      <c r="K219" s="88"/>
      <c r="L219" s="88"/>
      <c r="M219" s="88"/>
      <c r="N219" s="88"/>
    </row>
    <row r="220" spans="1:14" s="88" customFormat="1" ht="31.5" x14ac:dyDescent="0.25">
      <c r="A220" s="100" t="s">
        <v>105</v>
      </c>
      <c r="B220" s="98" t="s">
        <v>315</v>
      </c>
      <c r="C220" s="94" t="s">
        <v>106</v>
      </c>
      <c r="D220" s="99">
        <v>7030.6030000000001</v>
      </c>
      <c r="E220" s="87"/>
      <c r="F220" s="87"/>
      <c r="G220" s="87"/>
      <c r="H220" s="87"/>
      <c r="I220" s="87"/>
      <c r="J220" s="87"/>
      <c r="K220" s="87"/>
      <c r="L220" s="87"/>
      <c r="M220" s="87"/>
      <c r="N220" s="87"/>
    </row>
    <row r="221" spans="1:14" s="87" customFormat="1" ht="15.75" x14ac:dyDescent="0.25">
      <c r="A221" s="93" t="s">
        <v>128</v>
      </c>
      <c r="B221" s="94" t="s">
        <v>316</v>
      </c>
      <c r="C221" s="94"/>
      <c r="D221" s="95">
        <f>D222</f>
        <v>1280</v>
      </c>
      <c r="E221" s="88"/>
      <c r="F221" s="88"/>
      <c r="G221" s="88"/>
      <c r="H221" s="88"/>
      <c r="I221" s="88"/>
      <c r="J221" s="88"/>
      <c r="K221" s="88"/>
      <c r="L221" s="88"/>
      <c r="M221" s="88"/>
      <c r="N221" s="88"/>
    </row>
    <row r="222" spans="1:14" s="88" customFormat="1" ht="31.5" x14ac:dyDescent="0.25">
      <c r="A222" s="100" t="s">
        <v>105</v>
      </c>
      <c r="B222" s="94" t="s">
        <v>316</v>
      </c>
      <c r="C222" s="94" t="s">
        <v>106</v>
      </c>
      <c r="D222" s="95">
        <f>550+730</f>
        <v>1280</v>
      </c>
      <c r="E222" s="87"/>
      <c r="F222" s="87"/>
      <c r="G222" s="87"/>
      <c r="H222" s="87"/>
      <c r="I222" s="87"/>
      <c r="J222" s="87"/>
      <c r="K222" s="87"/>
      <c r="L222" s="87"/>
      <c r="M222" s="87"/>
      <c r="N222" s="87"/>
    </row>
    <row r="223" spans="1:14" s="87" customFormat="1" ht="15.75" x14ac:dyDescent="0.25">
      <c r="A223" s="93" t="s">
        <v>480</v>
      </c>
      <c r="B223" s="94" t="s">
        <v>479</v>
      </c>
      <c r="C223" s="94"/>
      <c r="D223" s="95">
        <f>D224</f>
        <v>0</v>
      </c>
    </row>
    <row r="224" spans="1:14" s="87" customFormat="1" ht="31.5" x14ac:dyDescent="0.25">
      <c r="A224" s="100" t="s">
        <v>105</v>
      </c>
      <c r="B224" s="94" t="s">
        <v>479</v>
      </c>
      <c r="C224" s="94" t="s">
        <v>106</v>
      </c>
      <c r="D224" s="95">
        <f>1000-1000</f>
        <v>0</v>
      </c>
    </row>
    <row r="225" spans="1:14" s="87" customFormat="1" ht="47.25" x14ac:dyDescent="0.25">
      <c r="A225" s="93" t="s">
        <v>317</v>
      </c>
      <c r="B225" s="94" t="s">
        <v>318</v>
      </c>
      <c r="C225" s="94"/>
      <c r="D225" s="95">
        <v>1165.4369999999999</v>
      </c>
      <c r="E225" s="88"/>
      <c r="F225" s="88"/>
      <c r="G225" s="88"/>
      <c r="H225" s="88"/>
      <c r="I225" s="88"/>
      <c r="J225" s="88"/>
      <c r="K225" s="88"/>
      <c r="L225" s="88"/>
      <c r="M225" s="88"/>
      <c r="N225" s="88"/>
    </row>
    <row r="226" spans="1:14" s="88" customFormat="1" ht="31.5" x14ac:dyDescent="0.25">
      <c r="A226" s="100" t="s">
        <v>105</v>
      </c>
      <c r="B226" s="98" t="s">
        <v>318</v>
      </c>
      <c r="C226" s="94" t="s">
        <v>106</v>
      </c>
      <c r="D226" s="99">
        <v>1165.4369999999999</v>
      </c>
    </row>
    <row r="227" spans="1:14" s="88" customFormat="1" ht="15.75" x14ac:dyDescent="0.25">
      <c r="A227" s="93" t="s">
        <v>129</v>
      </c>
      <c r="B227" s="94" t="s">
        <v>319</v>
      </c>
      <c r="C227" s="94"/>
      <c r="D227" s="95">
        <f>D228</f>
        <v>54.34</v>
      </c>
      <c r="E227" s="87"/>
      <c r="F227" s="87"/>
      <c r="G227" s="87"/>
      <c r="H227" s="87"/>
      <c r="I227" s="87"/>
      <c r="J227" s="87"/>
      <c r="K227" s="87"/>
      <c r="L227" s="87"/>
      <c r="M227" s="87"/>
      <c r="N227" s="87"/>
    </row>
    <row r="228" spans="1:14" s="87" customFormat="1" ht="31.5" x14ac:dyDescent="0.25">
      <c r="A228" s="100" t="s">
        <v>105</v>
      </c>
      <c r="B228" s="98" t="s">
        <v>319</v>
      </c>
      <c r="C228" s="94" t="s">
        <v>106</v>
      </c>
      <c r="D228" s="99">
        <f>54.34</f>
        <v>54.34</v>
      </c>
      <c r="E228" s="88"/>
      <c r="F228" s="88"/>
      <c r="G228" s="88"/>
      <c r="H228" s="88"/>
      <c r="I228" s="88"/>
      <c r="J228" s="88"/>
      <c r="K228" s="88"/>
      <c r="L228" s="88"/>
      <c r="M228" s="88"/>
      <c r="N228" s="88"/>
    </row>
    <row r="229" spans="1:14" s="88" customFormat="1" ht="15.75" x14ac:dyDescent="0.25">
      <c r="A229" s="93" t="s">
        <v>482</v>
      </c>
      <c r="B229" s="94" t="s">
        <v>481</v>
      </c>
      <c r="C229" s="94"/>
      <c r="D229" s="95">
        <v>333.66699999999997</v>
      </c>
      <c r="E229" s="87"/>
      <c r="F229" s="87"/>
      <c r="G229" s="87"/>
      <c r="H229" s="87"/>
      <c r="I229" s="87"/>
      <c r="J229" s="87"/>
      <c r="K229" s="87"/>
      <c r="L229" s="87"/>
      <c r="M229" s="87"/>
      <c r="N229" s="87"/>
    </row>
    <row r="230" spans="1:14" s="87" customFormat="1" ht="31.5" x14ac:dyDescent="0.25">
      <c r="A230" s="93" t="s">
        <v>9</v>
      </c>
      <c r="B230" s="94" t="s">
        <v>320</v>
      </c>
      <c r="C230" s="94"/>
      <c r="D230" s="95">
        <v>333.66699999999997</v>
      </c>
      <c r="E230" s="88"/>
      <c r="F230" s="88"/>
      <c r="G230" s="88"/>
      <c r="H230" s="88"/>
      <c r="I230" s="88"/>
      <c r="J230" s="88"/>
      <c r="K230" s="88"/>
      <c r="L230" s="88"/>
      <c r="M230" s="88"/>
      <c r="N230" s="88"/>
    </row>
    <row r="231" spans="1:14" s="88" customFormat="1" ht="31.5" x14ac:dyDescent="0.25">
      <c r="A231" s="100" t="s">
        <v>105</v>
      </c>
      <c r="B231" s="98" t="s">
        <v>320</v>
      </c>
      <c r="C231" s="94" t="s">
        <v>106</v>
      </c>
      <c r="D231" s="99">
        <v>333.66699999999997</v>
      </c>
      <c r="E231" s="87"/>
      <c r="F231" s="87"/>
      <c r="G231" s="87"/>
      <c r="H231" s="87"/>
      <c r="I231" s="87"/>
      <c r="J231" s="87"/>
      <c r="K231" s="87"/>
      <c r="L231" s="87"/>
      <c r="M231" s="87"/>
      <c r="N231" s="87"/>
    </row>
    <row r="232" spans="1:14" s="87" customFormat="1" ht="15.75" x14ac:dyDescent="0.25">
      <c r="A232" s="93" t="s">
        <v>130</v>
      </c>
      <c r="B232" s="94" t="s">
        <v>321</v>
      </c>
      <c r="C232" s="94"/>
      <c r="D232" s="95">
        <f>96.008+6590.316</f>
        <v>6686.3239999999996</v>
      </c>
      <c r="E232" s="88"/>
      <c r="F232" s="88"/>
      <c r="G232" s="88"/>
      <c r="H232" s="88"/>
      <c r="I232" s="88"/>
      <c r="J232" s="88"/>
      <c r="K232" s="88"/>
      <c r="L232" s="88"/>
      <c r="M232" s="88"/>
      <c r="N232" s="88"/>
    </row>
    <row r="233" spans="1:14" s="88" customFormat="1" ht="31.5" x14ac:dyDescent="0.25">
      <c r="A233" s="100" t="s">
        <v>105</v>
      </c>
      <c r="B233" s="94" t="s">
        <v>321</v>
      </c>
      <c r="C233" s="94" t="s">
        <v>106</v>
      </c>
      <c r="D233" s="95">
        <f>96.008+6590.316</f>
        <v>6686.3239999999996</v>
      </c>
      <c r="E233" s="87"/>
      <c r="F233" s="87"/>
      <c r="G233" s="87"/>
      <c r="H233" s="87"/>
      <c r="I233" s="87"/>
      <c r="J233" s="87"/>
      <c r="K233" s="87"/>
      <c r="L233" s="87"/>
      <c r="M233" s="87"/>
      <c r="N233" s="87"/>
    </row>
    <row r="234" spans="1:14" s="87" customFormat="1" ht="15.75" x14ac:dyDescent="0.25">
      <c r="A234" s="93" t="s">
        <v>131</v>
      </c>
      <c r="B234" s="94" t="s">
        <v>322</v>
      </c>
      <c r="C234" s="94"/>
      <c r="D234" s="95">
        <f>D235</f>
        <v>5497.4949999999999</v>
      </c>
    </row>
    <row r="235" spans="1:14" s="87" customFormat="1" ht="15.75" x14ac:dyDescent="0.25">
      <c r="A235" s="93" t="s">
        <v>132</v>
      </c>
      <c r="B235" s="94" t="s">
        <v>323</v>
      </c>
      <c r="C235" s="94"/>
      <c r="D235" s="95">
        <f>D236+D237+D238</f>
        <v>5497.4949999999999</v>
      </c>
      <c r="E235" s="88"/>
      <c r="F235" s="88"/>
      <c r="G235" s="88"/>
      <c r="H235" s="88"/>
      <c r="I235" s="88"/>
      <c r="J235" s="88"/>
      <c r="K235" s="88"/>
      <c r="L235" s="88"/>
      <c r="M235" s="88"/>
      <c r="N235" s="88"/>
    </row>
    <row r="236" spans="1:14" s="88" customFormat="1" ht="47.25" x14ac:dyDescent="0.25">
      <c r="A236" s="93" t="s">
        <v>29</v>
      </c>
      <c r="B236" s="94" t="s">
        <v>323</v>
      </c>
      <c r="C236" s="94" t="s">
        <v>30</v>
      </c>
      <c r="D236" s="95">
        <f>4437.272+90.829+383.287-4</f>
        <v>4907.3879999999999</v>
      </c>
    </row>
    <row r="237" spans="1:14" s="87" customFormat="1" ht="15.75" x14ac:dyDescent="0.25">
      <c r="A237" s="100" t="s">
        <v>33</v>
      </c>
      <c r="B237" s="98" t="s">
        <v>323</v>
      </c>
      <c r="C237" s="94" t="s">
        <v>7</v>
      </c>
      <c r="D237" s="99">
        <f>562.5+22.107+4.2</f>
        <v>588.80700000000002</v>
      </c>
      <c r="E237" s="88"/>
      <c r="F237" s="88"/>
      <c r="G237" s="88"/>
      <c r="H237" s="88"/>
      <c r="I237" s="88"/>
      <c r="J237" s="88"/>
      <c r="K237" s="88"/>
      <c r="L237" s="88"/>
      <c r="M237" s="88"/>
      <c r="N237" s="88"/>
    </row>
    <row r="238" spans="1:14" s="87" customFormat="1" ht="15.75" x14ac:dyDescent="0.25">
      <c r="A238" s="100" t="s">
        <v>196</v>
      </c>
      <c r="B238" s="98" t="s">
        <v>323</v>
      </c>
      <c r="C238" s="94" t="s">
        <v>44</v>
      </c>
      <c r="D238" s="99">
        <f>1.5-0.2</f>
        <v>1.3</v>
      </c>
      <c r="E238" s="88"/>
      <c r="F238" s="88"/>
      <c r="G238" s="88"/>
      <c r="H238" s="88"/>
      <c r="I238" s="88"/>
      <c r="J238" s="88"/>
      <c r="K238" s="88"/>
      <c r="L238" s="88"/>
      <c r="M238" s="88"/>
      <c r="N238" s="88"/>
    </row>
    <row r="239" spans="1:14" s="88" customFormat="1" ht="15.75" x14ac:dyDescent="0.25">
      <c r="A239" s="93" t="s">
        <v>133</v>
      </c>
      <c r="B239" s="94" t="s">
        <v>324</v>
      </c>
      <c r="C239" s="94"/>
      <c r="D239" s="95">
        <f>D240+D242</f>
        <v>25904.726140000002</v>
      </c>
      <c r="E239" s="87"/>
      <c r="F239" s="87"/>
      <c r="G239" s="87"/>
      <c r="H239" s="87"/>
      <c r="I239" s="87"/>
      <c r="J239" s="87"/>
      <c r="K239" s="87"/>
      <c r="L239" s="87"/>
      <c r="M239" s="87"/>
      <c r="N239" s="87"/>
    </row>
    <row r="240" spans="1:14" s="87" customFormat="1" ht="15.75" x14ac:dyDescent="0.25">
      <c r="A240" s="93" t="s">
        <v>134</v>
      </c>
      <c r="B240" s="94" t="s">
        <v>325</v>
      </c>
      <c r="C240" s="94"/>
      <c r="D240" s="95">
        <f>D241</f>
        <v>12887.756140000003</v>
      </c>
    </row>
    <row r="241" spans="1:14" s="87" customFormat="1" ht="31.5" x14ac:dyDescent="0.25">
      <c r="A241" s="100" t="s">
        <v>105</v>
      </c>
      <c r="B241" s="94" t="s">
        <v>325</v>
      </c>
      <c r="C241" s="94" t="s">
        <v>106</v>
      </c>
      <c r="D241" s="95">
        <f>-130.17+17120.455-3221.7-880.82886</f>
        <v>12887.756140000003</v>
      </c>
      <c r="E241" s="88"/>
      <c r="F241" s="88"/>
      <c r="G241" s="88"/>
      <c r="H241" s="88"/>
      <c r="I241" s="88"/>
      <c r="J241" s="88"/>
      <c r="K241" s="88"/>
      <c r="L241" s="88"/>
      <c r="M241" s="88"/>
      <c r="N241" s="88"/>
    </row>
    <row r="242" spans="1:14" s="87" customFormat="1" ht="31.5" x14ac:dyDescent="0.25">
      <c r="A242" s="57" t="s">
        <v>123</v>
      </c>
      <c r="B242" s="58" t="s">
        <v>494</v>
      </c>
      <c r="C242" s="58"/>
      <c r="D242" s="59">
        <f>D243</f>
        <v>13016.97</v>
      </c>
      <c r="E242" s="88"/>
      <c r="F242" s="88"/>
      <c r="G242" s="88"/>
      <c r="H242" s="88"/>
      <c r="I242" s="88"/>
      <c r="J242" s="88"/>
      <c r="K242" s="88"/>
      <c r="L242" s="88"/>
      <c r="M242" s="88"/>
      <c r="N242" s="88"/>
    </row>
    <row r="243" spans="1:14" s="87" customFormat="1" ht="31.5" x14ac:dyDescent="0.25">
      <c r="A243" s="57" t="s">
        <v>105</v>
      </c>
      <c r="B243" s="58" t="s">
        <v>494</v>
      </c>
      <c r="C243" s="58" t="s">
        <v>106</v>
      </c>
      <c r="D243" s="59">
        <f>130.17+12886.8</f>
        <v>13016.97</v>
      </c>
      <c r="E243" s="88"/>
      <c r="F243" s="88"/>
      <c r="G243" s="88"/>
      <c r="H243" s="88"/>
      <c r="I243" s="88"/>
      <c r="J243" s="88"/>
      <c r="K243" s="88"/>
      <c r="L243" s="88"/>
      <c r="M243" s="88"/>
      <c r="N243" s="88"/>
    </row>
    <row r="244" spans="1:14" s="88" customFormat="1" ht="15.75" x14ac:dyDescent="0.25">
      <c r="A244" s="93" t="s">
        <v>135</v>
      </c>
      <c r="B244" s="94" t="s">
        <v>326</v>
      </c>
      <c r="C244" s="94"/>
      <c r="D244" s="95">
        <f>D245+D249</f>
        <v>5594.7259599999998</v>
      </c>
    </row>
    <row r="245" spans="1:14" s="88" customFormat="1" ht="15.75" x14ac:dyDescent="0.25">
      <c r="A245" s="93" t="s">
        <v>136</v>
      </c>
      <c r="B245" s="94" t="s">
        <v>327</v>
      </c>
      <c r="C245" s="94"/>
      <c r="D245" s="95">
        <f>D246+D247</f>
        <v>3172.1049599999997</v>
      </c>
      <c r="E245" s="87"/>
      <c r="F245" s="87"/>
      <c r="G245" s="87"/>
      <c r="H245" s="87"/>
      <c r="I245" s="87"/>
      <c r="J245" s="87"/>
      <c r="K245" s="87"/>
      <c r="L245" s="87"/>
      <c r="M245" s="87"/>
      <c r="N245" s="87"/>
    </row>
    <row r="246" spans="1:14" s="87" customFormat="1" ht="31.5" x14ac:dyDescent="0.25">
      <c r="A246" s="100" t="s">
        <v>105</v>
      </c>
      <c r="B246" s="94" t="s">
        <v>327</v>
      </c>
      <c r="C246" s="94" t="s">
        <v>106</v>
      </c>
      <c r="D246" s="95">
        <f>1698.37+345.17896</f>
        <v>2043.5489599999999</v>
      </c>
      <c r="E246" s="88"/>
      <c r="F246" s="88"/>
      <c r="G246" s="88"/>
      <c r="H246" s="88"/>
      <c r="I246" s="88"/>
      <c r="J246" s="88"/>
      <c r="K246" s="88"/>
      <c r="L246" s="88"/>
      <c r="M246" s="88"/>
      <c r="N246" s="88"/>
    </row>
    <row r="247" spans="1:14" s="88" customFormat="1" ht="31.5" x14ac:dyDescent="0.25">
      <c r="A247" s="93" t="s">
        <v>123</v>
      </c>
      <c r="B247" s="94" t="s">
        <v>328</v>
      </c>
      <c r="C247" s="94"/>
      <c r="D247" s="95">
        <v>1128.556</v>
      </c>
      <c r="E247" s="87"/>
      <c r="F247" s="87"/>
      <c r="G247" s="87"/>
      <c r="H247" s="87"/>
      <c r="I247" s="87"/>
      <c r="J247" s="87"/>
      <c r="K247" s="87"/>
      <c r="L247" s="87"/>
      <c r="M247" s="87"/>
      <c r="N247" s="87"/>
    </row>
    <row r="248" spans="1:14" s="87" customFormat="1" ht="31.5" x14ac:dyDescent="0.25">
      <c r="A248" s="100" t="s">
        <v>105</v>
      </c>
      <c r="B248" s="98" t="s">
        <v>328</v>
      </c>
      <c r="C248" s="94" t="s">
        <v>106</v>
      </c>
      <c r="D248" s="99">
        <v>1128.556</v>
      </c>
      <c r="E248" s="88"/>
      <c r="F248" s="88"/>
      <c r="G248" s="88"/>
      <c r="H248" s="88"/>
      <c r="I248" s="88"/>
      <c r="J248" s="88"/>
      <c r="K248" s="88"/>
      <c r="L248" s="88"/>
      <c r="M248" s="88"/>
      <c r="N248" s="88"/>
    </row>
    <row r="249" spans="1:14" s="88" customFormat="1" ht="15.75" x14ac:dyDescent="0.25">
      <c r="A249" s="93" t="s">
        <v>484</v>
      </c>
      <c r="B249" s="94" t="s">
        <v>483</v>
      </c>
      <c r="C249" s="94"/>
      <c r="D249" s="95">
        <f>422.621+2000</f>
        <v>2422.6210000000001</v>
      </c>
      <c r="E249" s="90"/>
      <c r="F249" s="90"/>
      <c r="G249" s="90"/>
      <c r="H249" s="90"/>
      <c r="I249" s="90"/>
      <c r="J249" s="90"/>
      <c r="K249" s="90"/>
      <c r="L249" s="90"/>
      <c r="M249" s="90"/>
      <c r="N249" s="90"/>
    </row>
    <row r="250" spans="1:14" s="90" customFormat="1" ht="15.75" x14ac:dyDescent="0.25">
      <c r="A250" s="93" t="s">
        <v>329</v>
      </c>
      <c r="B250" s="94" t="s">
        <v>330</v>
      </c>
      <c r="C250" s="94"/>
      <c r="D250" s="95">
        <v>422.62099999999998</v>
      </c>
      <c r="E250" s="88"/>
      <c r="F250" s="88"/>
      <c r="G250" s="88"/>
      <c r="H250" s="88"/>
      <c r="I250" s="88"/>
      <c r="J250" s="88"/>
      <c r="K250" s="88"/>
      <c r="L250" s="88"/>
      <c r="M250" s="88"/>
      <c r="N250" s="88"/>
    </row>
    <row r="251" spans="1:14" s="90" customFormat="1" ht="17.25" customHeight="1" x14ac:dyDescent="0.25">
      <c r="A251" s="93" t="s">
        <v>105</v>
      </c>
      <c r="B251" s="94" t="s">
        <v>330</v>
      </c>
      <c r="C251" s="94" t="s">
        <v>106</v>
      </c>
      <c r="D251" s="95">
        <v>422.62099999999998</v>
      </c>
      <c r="E251" s="88"/>
      <c r="F251" s="88"/>
      <c r="G251" s="88"/>
      <c r="H251" s="88"/>
      <c r="I251" s="88"/>
      <c r="J251" s="88"/>
      <c r="K251" s="88"/>
      <c r="L251" s="88"/>
      <c r="M251" s="88"/>
      <c r="N251" s="88"/>
    </row>
    <row r="252" spans="1:14" s="90" customFormat="1" ht="17.25" customHeight="1" x14ac:dyDescent="0.25">
      <c r="A252" s="93" t="s">
        <v>908</v>
      </c>
      <c r="B252" s="94" t="s">
        <v>907</v>
      </c>
      <c r="C252" s="94"/>
      <c r="D252" s="95">
        <v>2000</v>
      </c>
      <c r="E252" s="88"/>
      <c r="F252" s="88"/>
      <c r="G252" s="88"/>
      <c r="H252" s="88"/>
      <c r="I252" s="88"/>
      <c r="J252" s="88"/>
      <c r="K252" s="88"/>
      <c r="L252" s="88"/>
      <c r="M252" s="88"/>
      <c r="N252" s="88"/>
    </row>
    <row r="253" spans="1:14" s="88" customFormat="1" ht="18" customHeight="1" x14ac:dyDescent="0.25">
      <c r="A253" s="100" t="s">
        <v>105</v>
      </c>
      <c r="B253" s="98" t="s">
        <v>907</v>
      </c>
      <c r="C253" s="94" t="s">
        <v>106</v>
      </c>
      <c r="D253" s="99">
        <v>2000</v>
      </c>
      <c r="E253" s="87"/>
      <c r="F253" s="87"/>
      <c r="G253" s="87"/>
      <c r="H253" s="87"/>
      <c r="I253" s="87"/>
      <c r="J253" s="87"/>
      <c r="K253" s="87"/>
      <c r="L253" s="87"/>
      <c r="M253" s="87"/>
      <c r="N253" s="87"/>
    </row>
    <row r="254" spans="1:14" s="87" customFormat="1" ht="31.5" x14ac:dyDescent="0.25">
      <c r="A254" s="101" t="s">
        <v>137</v>
      </c>
      <c r="B254" s="102" t="s">
        <v>331</v>
      </c>
      <c r="C254" s="102"/>
      <c r="D254" s="103">
        <f>D255+D258+D261</f>
        <v>7486.3790000000008</v>
      </c>
      <c r="E254" s="88"/>
      <c r="F254" s="88"/>
      <c r="G254" s="88"/>
      <c r="H254" s="88"/>
      <c r="I254" s="88"/>
      <c r="J254" s="88"/>
      <c r="K254" s="88"/>
      <c r="L254" s="88"/>
      <c r="M254" s="88"/>
      <c r="N254" s="88"/>
    </row>
    <row r="255" spans="1:14" s="88" customFormat="1" ht="15.75" x14ac:dyDescent="0.25">
      <c r="A255" s="93" t="s">
        <v>138</v>
      </c>
      <c r="B255" s="94" t="s">
        <v>332</v>
      </c>
      <c r="C255" s="94"/>
      <c r="D255" s="95">
        <v>250</v>
      </c>
    </row>
    <row r="256" spans="1:14" s="88" customFormat="1" ht="31.5" x14ac:dyDescent="0.25">
      <c r="A256" s="93" t="s">
        <v>139</v>
      </c>
      <c r="B256" s="94" t="s">
        <v>333</v>
      </c>
      <c r="C256" s="94"/>
      <c r="D256" s="95">
        <v>250</v>
      </c>
      <c r="E256" s="87"/>
      <c r="F256" s="87"/>
      <c r="G256" s="87"/>
      <c r="H256" s="87"/>
      <c r="I256" s="87"/>
      <c r="J256" s="87"/>
      <c r="K256" s="87"/>
      <c r="L256" s="87"/>
      <c r="M256" s="87"/>
      <c r="N256" s="87"/>
    </row>
    <row r="257" spans="1:14" s="87" customFormat="1" ht="31.5" x14ac:dyDescent="0.25">
      <c r="A257" s="100" t="s">
        <v>105</v>
      </c>
      <c r="B257" s="94" t="s">
        <v>333</v>
      </c>
      <c r="C257" s="94" t="s">
        <v>106</v>
      </c>
      <c r="D257" s="95">
        <v>250</v>
      </c>
      <c r="E257" s="88"/>
      <c r="F257" s="88"/>
      <c r="G257" s="88"/>
      <c r="H257" s="88"/>
      <c r="I257" s="88"/>
      <c r="J257" s="88"/>
      <c r="K257" s="88"/>
      <c r="L257" s="88"/>
      <c r="M257" s="88"/>
      <c r="N257" s="88"/>
    </row>
    <row r="258" spans="1:14" s="88" customFormat="1" ht="15.75" x14ac:dyDescent="0.25">
      <c r="A258" s="93" t="s">
        <v>140</v>
      </c>
      <c r="B258" s="94" t="s">
        <v>334</v>
      </c>
      <c r="C258" s="94"/>
      <c r="D258" s="95">
        <v>550</v>
      </c>
      <c r="E258" s="87"/>
      <c r="F258" s="87"/>
      <c r="G258" s="87"/>
      <c r="H258" s="87"/>
      <c r="I258" s="87"/>
      <c r="J258" s="87"/>
      <c r="K258" s="87"/>
      <c r="L258" s="87"/>
      <c r="M258" s="87"/>
      <c r="N258" s="87"/>
    </row>
    <row r="259" spans="1:14" s="87" customFormat="1" ht="15.75" x14ac:dyDescent="0.25">
      <c r="A259" s="93" t="s">
        <v>141</v>
      </c>
      <c r="B259" s="94" t="s">
        <v>335</v>
      </c>
      <c r="C259" s="94"/>
      <c r="D259" s="95">
        <v>550</v>
      </c>
      <c r="E259" s="88"/>
      <c r="F259" s="88"/>
      <c r="G259" s="88"/>
      <c r="H259" s="88"/>
      <c r="I259" s="88"/>
      <c r="J259" s="88"/>
      <c r="K259" s="88"/>
      <c r="L259" s="88"/>
      <c r="M259" s="88"/>
      <c r="N259" s="88"/>
    </row>
    <row r="260" spans="1:14" s="88" customFormat="1" ht="31.5" x14ac:dyDescent="0.25">
      <c r="A260" s="100" t="s">
        <v>105</v>
      </c>
      <c r="B260" s="94" t="s">
        <v>335</v>
      </c>
      <c r="C260" s="94" t="s">
        <v>106</v>
      </c>
      <c r="D260" s="95">
        <v>550</v>
      </c>
      <c r="E260" s="87"/>
      <c r="F260" s="87"/>
      <c r="G260" s="87"/>
      <c r="H260" s="87"/>
      <c r="I260" s="87"/>
      <c r="J260" s="87"/>
      <c r="K260" s="87"/>
      <c r="L260" s="87"/>
      <c r="M260" s="87"/>
      <c r="N260" s="87"/>
    </row>
    <row r="261" spans="1:14" s="87" customFormat="1" ht="15.75" x14ac:dyDescent="0.25">
      <c r="A261" s="93" t="s">
        <v>142</v>
      </c>
      <c r="B261" s="94" t="s">
        <v>336</v>
      </c>
      <c r="C261" s="94"/>
      <c r="D261" s="95">
        <f>D262+D264+D266</f>
        <v>6686.3790000000008</v>
      </c>
      <c r="E261" s="88"/>
      <c r="F261" s="88"/>
      <c r="G261" s="88"/>
      <c r="H261" s="88"/>
      <c r="I261" s="88"/>
      <c r="J261" s="88"/>
      <c r="K261" s="88"/>
      <c r="L261" s="88"/>
      <c r="M261" s="88"/>
      <c r="N261" s="88"/>
    </row>
    <row r="262" spans="1:14" s="88" customFormat="1" ht="31.5" x14ac:dyDescent="0.25">
      <c r="A262" s="93" t="s">
        <v>124</v>
      </c>
      <c r="B262" s="94" t="s">
        <v>337</v>
      </c>
      <c r="C262" s="94"/>
      <c r="D262" s="95">
        <v>1.024</v>
      </c>
    </row>
    <row r="263" spans="1:14" s="88" customFormat="1" ht="31.5" x14ac:dyDescent="0.25">
      <c r="A263" s="100" t="s">
        <v>105</v>
      </c>
      <c r="B263" s="98" t="s">
        <v>337</v>
      </c>
      <c r="C263" s="94" t="s">
        <v>106</v>
      </c>
      <c r="D263" s="99">
        <v>1.024</v>
      </c>
      <c r="E263" s="87"/>
      <c r="F263" s="87"/>
      <c r="G263" s="87"/>
      <c r="H263" s="87"/>
      <c r="I263" s="87"/>
      <c r="J263" s="87"/>
      <c r="K263" s="87"/>
      <c r="L263" s="87"/>
      <c r="M263" s="87"/>
      <c r="N263" s="87"/>
    </row>
    <row r="264" spans="1:14" s="87" customFormat="1" ht="15.75" x14ac:dyDescent="0.25">
      <c r="A264" s="93" t="s">
        <v>143</v>
      </c>
      <c r="B264" s="94" t="s">
        <v>338</v>
      </c>
      <c r="C264" s="94"/>
      <c r="D264" s="95">
        <f>D265</f>
        <v>6129.5660000000007</v>
      </c>
      <c r="E264" s="88"/>
      <c r="F264" s="88"/>
      <c r="G264" s="88"/>
      <c r="H264" s="88"/>
      <c r="I264" s="88"/>
      <c r="J264" s="88"/>
      <c r="K264" s="88"/>
      <c r="L264" s="88"/>
      <c r="M264" s="88"/>
      <c r="N264" s="88"/>
    </row>
    <row r="265" spans="1:14" s="88" customFormat="1" ht="31.5" x14ac:dyDescent="0.25">
      <c r="A265" s="100" t="s">
        <v>105</v>
      </c>
      <c r="B265" s="94" t="s">
        <v>338</v>
      </c>
      <c r="C265" s="94" t="s">
        <v>106</v>
      </c>
      <c r="D265" s="95">
        <f>-110-949.931+7189.497</f>
        <v>6129.5660000000007</v>
      </c>
      <c r="E265" s="87"/>
      <c r="F265" s="87"/>
      <c r="G265" s="87"/>
      <c r="H265" s="87"/>
      <c r="I265" s="87"/>
      <c r="J265" s="87"/>
      <c r="K265" s="87"/>
      <c r="L265" s="87"/>
      <c r="M265" s="87"/>
      <c r="N265" s="87"/>
    </row>
    <row r="266" spans="1:14" s="87" customFormat="1" ht="31.5" x14ac:dyDescent="0.25">
      <c r="A266" s="93" t="s">
        <v>117</v>
      </c>
      <c r="B266" s="94" t="s">
        <v>339</v>
      </c>
      <c r="C266" s="94"/>
      <c r="D266" s="95">
        <f>D267</f>
        <v>555.78899999999999</v>
      </c>
      <c r="E266" s="88"/>
      <c r="F266" s="88"/>
      <c r="G266" s="88"/>
      <c r="H266" s="88"/>
      <c r="I266" s="88"/>
      <c r="J266" s="88"/>
      <c r="K266" s="88"/>
      <c r="L266" s="88"/>
      <c r="M266" s="88"/>
      <c r="N266" s="88"/>
    </row>
    <row r="267" spans="1:14" s="88" customFormat="1" ht="31.5" x14ac:dyDescent="0.25">
      <c r="A267" s="100" t="s">
        <v>105</v>
      </c>
      <c r="B267" s="98" t="s">
        <v>339</v>
      </c>
      <c r="C267" s="94" t="s">
        <v>106</v>
      </c>
      <c r="D267" s="99">
        <v>555.78899999999999</v>
      </c>
      <c r="E267" s="87"/>
      <c r="F267" s="87"/>
      <c r="G267" s="87"/>
      <c r="H267" s="87"/>
      <c r="I267" s="87"/>
      <c r="J267" s="87"/>
      <c r="K267" s="87"/>
      <c r="L267" s="87"/>
      <c r="M267" s="87"/>
      <c r="N267" s="87"/>
    </row>
    <row r="268" spans="1:14" s="87" customFormat="1" ht="31.5" x14ac:dyDescent="0.25">
      <c r="A268" s="101" t="s">
        <v>79</v>
      </c>
      <c r="B268" s="102" t="s">
        <v>80</v>
      </c>
      <c r="C268" s="102"/>
      <c r="D268" s="103">
        <f>D269+D274+D277+D280+D287+D301</f>
        <v>113588.87400000001</v>
      </c>
      <c r="E268" s="88"/>
      <c r="F268" s="88"/>
      <c r="G268" s="88"/>
      <c r="H268" s="88"/>
      <c r="I268" s="88"/>
      <c r="J268" s="88"/>
      <c r="K268" s="88"/>
      <c r="L268" s="88"/>
      <c r="M268" s="88"/>
      <c r="N268" s="88"/>
    </row>
    <row r="269" spans="1:14" s="88" customFormat="1" ht="15.75" x14ac:dyDescent="0.25">
      <c r="A269" s="93" t="s">
        <v>81</v>
      </c>
      <c r="B269" s="94" t="s">
        <v>390</v>
      </c>
      <c r="C269" s="94"/>
      <c r="D269" s="95">
        <f>10-10</f>
        <v>0</v>
      </c>
    </row>
    <row r="270" spans="1:14" s="88" customFormat="1" ht="15.75" x14ac:dyDescent="0.25">
      <c r="A270" s="93" t="s">
        <v>82</v>
      </c>
      <c r="B270" s="94" t="s">
        <v>391</v>
      </c>
      <c r="C270" s="94"/>
      <c r="D270" s="95">
        <f>D271</f>
        <v>0</v>
      </c>
    </row>
    <row r="271" spans="1:14" s="88" customFormat="1" ht="15.75" x14ac:dyDescent="0.25">
      <c r="A271" s="100" t="s">
        <v>33</v>
      </c>
      <c r="B271" s="94" t="s">
        <v>391</v>
      </c>
      <c r="C271" s="94" t="s">
        <v>7</v>
      </c>
      <c r="D271" s="95">
        <f>5-5</f>
        <v>0</v>
      </c>
    </row>
    <row r="272" spans="1:14" s="88" customFormat="1" ht="15.75" x14ac:dyDescent="0.25">
      <c r="A272" s="93" t="s">
        <v>83</v>
      </c>
      <c r="B272" s="94" t="s">
        <v>392</v>
      </c>
      <c r="C272" s="94"/>
      <c r="D272" s="95">
        <f>D273</f>
        <v>0</v>
      </c>
      <c r="E272" s="87"/>
      <c r="F272" s="87"/>
      <c r="G272" s="87"/>
      <c r="H272" s="87"/>
      <c r="I272" s="87"/>
      <c r="J272" s="87"/>
      <c r="K272" s="87"/>
      <c r="L272" s="87"/>
      <c r="M272" s="87"/>
      <c r="N272" s="87"/>
    </row>
    <row r="273" spans="1:14" s="87" customFormat="1" ht="15.75" x14ac:dyDescent="0.25">
      <c r="A273" s="100" t="s">
        <v>33</v>
      </c>
      <c r="B273" s="94" t="s">
        <v>392</v>
      </c>
      <c r="C273" s="94" t="s">
        <v>7</v>
      </c>
      <c r="D273" s="95">
        <f>5-5</f>
        <v>0</v>
      </c>
      <c r="E273" s="88"/>
      <c r="F273" s="88"/>
      <c r="G273" s="88"/>
      <c r="H273" s="88"/>
      <c r="I273" s="88"/>
      <c r="J273" s="88"/>
      <c r="K273" s="88"/>
      <c r="L273" s="88"/>
      <c r="M273" s="88"/>
      <c r="N273" s="88"/>
    </row>
    <row r="274" spans="1:14" s="88" customFormat="1" ht="15.75" x14ac:dyDescent="0.25">
      <c r="A274" s="93" t="s">
        <v>84</v>
      </c>
      <c r="B274" s="94" t="s">
        <v>393</v>
      </c>
      <c r="C274" s="94"/>
      <c r="D274" s="95">
        <f>D275</f>
        <v>0</v>
      </c>
      <c r="E274" s="87"/>
      <c r="F274" s="87"/>
      <c r="G274" s="87"/>
      <c r="H274" s="87"/>
      <c r="I274" s="87"/>
      <c r="J274" s="87"/>
      <c r="K274" s="87"/>
      <c r="L274" s="87"/>
      <c r="M274" s="87"/>
      <c r="N274" s="87"/>
    </row>
    <row r="275" spans="1:14" s="87" customFormat="1" ht="15.75" x14ac:dyDescent="0.25">
      <c r="A275" s="93" t="s">
        <v>85</v>
      </c>
      <c r="B275" s="94" t="s">
        <v>394</v>
      </c>
      <c r="C275" s="94"/>
      <c r="D275" s="95">
        <f>D276</f>
        <v>0</v>
      </c>
      <c r="E275" s="88"/>
      <c r="F275" s="88"/>
      <c r="G275" s="88"/>
      <c r="H275" s="88"/>
      <c r="I275" s="88"/>
      <c r="J275" s="88"/>
      <c r="K275" s="88"/>
      <c r="L275" s="88"/>
      <c r="M275" s="88"/>
      <c r="N275" s="88"/>
    </row>
    <row r="276" spans="1:14" s="88" customFormat="1" ht="15.75" x14ac:dyDescent="0.25">
      <c r="A276" s="100" t="s">
        <v>33</v>
      </c>
      <c r="B276" s="94" t="s">
        <v>394</v>
      </c>
      <c r="C276" s="94" t="s">
        <v>7</v>
      </c>
      <c r="D276" s="95">
        <f>10-10</f>
        <v>0</v>
      </c>
      <c r="E276" s="87"/>
      <c r="F276" s="87"/>
      <c r="G276" s="87"/>
      <c r="H276" s="87"/>
      <c r="I276" s="87"/>
      <c r="J276" s="87"/>
      <c r="K276" s="87"/>
      <c r="L276" s="87"/>
      <c r="M276" s="87"/>
      <c r="N276" s="87"/>
    </row>
    <row r="277" spans="1:14" s="87" customFormat="1" ht="15.75" x14ac:dyDescent="0.25">
      <c r="A277" s="93" t="s">
        <v>86</v>
      </c>
      <c r="B277" s="94" t="s">
        <v>395</v>
      </c>
      <c r="C277" s="94"/>
      <c r="D277" s="95">
        <v>20</v>
      </c>
      <c r="E277" s="88"/>
      <c r="F277" s="88"/>
      <c r="G277" s="88"/>
      <c r="H277" s="88"/>
      <c r="I277" s="88"/>
      <c r="J277" s="88"/>
      <c r="K277" s="88"/>
      <c r="L277" s="88"/>
      <c r="M277" s="88"/>
      <c r="N277" s="88"/>
    </row>
    <row r="278" spans="1:14" s="88" customFormat="1" ht="31.5" x14ac:dyDescent="0.25">
      <c r="A278" s="93" t="s">
        <v>87</v>
      </c>
      <c r="B278" s="94" t="s">
        <v>396</v>
      </c>
      <c r="C278" s="94"/>
      <c r="D278" s="95">
        <v>20</v>
      </c>
      <c r="E278" s="87"/>
      <c r="F278" s="87"/>
      <c r="G278" s="87"/>
      <c r="H278" s="87"/>
      <c r="I278" s="87"/>
      <c r="J278" s="87"/>
      <c r="K278" s="87"/>
      <c r="L278" s="87"/>
      <c r="M278" s="87"/>
      <c r="N278" s="87"/>
    </row>
    <row r="279" spans="1:14" s="87" customFormat="1" ht="15.75" x14ac:dyDescent="0.25">
      <c r="A279" s="100" t="s">
        <v>33</v>
      </c>
      <c r="B279" s="94" t="s">
        <v>396</v>
      </c>
      <c r="C279" s="94" t="s">
        <v>7</v>
      </c>
      <c r="D279" s="95">
        <v>20</v>
      </c>
    </row>
    <row r="280" spans="1:14" s="87" customFormat="1" ht="15.75" x14ac:dyDescent="0.25">
      <c r="A280" s="93" t="s">
        <v>166</v>
      </c>
      <c r="B280" s="94" t="s">
        <v>167</v>
      </c>
      <c r="C280" s="94"/>
      <c r="D280" s="95">
        <f>D281+D283</f>
        <v>6190.5770000000002</v>
      </c>
    </row>
    <row r="281" spans="1:14" s="87" customFormat="1" ht="47.25" x14ac:dyDescent="0.25">
      <c r="A281" s="93" t="s">
        <v>168</v>
      </c>
      <c r="B281" s="94" t="s">
        <v>169</v>
      </c>
      <c r="C281" s="94"/>
      <c r="D281" s="95">
        <v>203.37200000000001</v>
      </c>
    </row>
    <row r="282" spans="1:14" s="87" customFormat="1" ht="15.75" x14ac:dyDescent="0.25">
      <c r="A282" s="100" t="s">
        <v>33</v>
      </c>
      <c r="B282" s="98" t="s">
        <v>169</v>
      </c>
      <c r="C282" s="94" t="s">
        <v>7</v>
      </c>
      <c r="D282" s="99">
        <v>203.37200000000001</v>
      </c>
    </row>
    <row r="283" spans="1:14" s="87" customFormat="1" ht="15.75" x14ac:dyDescent="0.25">
      <c r="A283" s="93" t="s">
        <v>170</v>
      </c>
      <c r="B283" s="94" t="s">
        <v>171</v>
      </c>
      <c r="C283" s="94"/>
      <c r="D283" s="95">
        <f>D284+D285+D286</f>
        <v>5987.2049999999999</v>
      </c>
    </row>
    <row r="284" spans="1:14" s="87" customFormat="1" ht="47.25" x14ac:dyDescent="0.25">
      <c r="A284" s="93" t="s">
        <v>29</v>
      </c>
      <c r="B284" s="94" t="s">
        <v>171</v>
      </c>
      <c r="C284" s="94" t="s">
        <v>30</v>
      </c>
      <c r="D284" s="95">
        <f>4820.022+203.88+469.001</f>
        <v>5492.9030000000002</v>
      </c>
    </row>
    <row r="285" spans="1:14" s="87" customFormat="1" ht="15.75" x14ac:dyDescent="0.25">
      <c r="A285" s="100" t="s">
        <v>33</v>
      </c>
      <c r="B285" s="98" t="s">
        <v>171</v>
      </c>
      <c r="C285" s="98" t="s">
        <v>7</v>
      </c>
      <c r="D285" s="99">
        <v>348</v>
      </c>
    </row>
    <row r="286" spans="1:14" s="87" customFormat="1" ht="15.75" x14ac:dyDescent="0.25">
      <c r="A286" s="100" t="s">
        <v>196</v>
      </c>
      <c r="B286" s="98" t="s">
        <v>171</v>
      </c>
      <c r="C286" s="94" t="s">
        <v>44</v>
      </c>
      <c r="D286" s="99">
        <v>146.30199999999999</v>
      </c>
    </row>
    <row r="287" spans="1:14" s="87" customFormat="1" ht="15.75" x14ac:dyDescent="0.25">
      <c r="A287" s="93" t="s">
        <v>205</v>
      </c>
      <c r="B287" s="94" t="s">
        <v>206</v>
      </c>
      <c r="C287" s="94"/>
      <c r="D287" s="95">
        <f>D288+D291+D293+D297+D299</f>
        <v>67114.822000000015</v>
      </c>
    </row>
    <row r="288" spans="1:14" s="87" customFormat="1" ht="31.5" x14ac:dyDescent="0.25">
      <c r="A288" s="93" t="s">
        <v>207</v>
      </c>
      <c r="B288" s="94" t="s">
        <v>208</v>
      </c>
      <c r="C288" s="94"/>
      <c r="D288" s="95">
        <v>595.9</v>
      </c>
    </row>
    <row r="289" spans="1:14" s="87" customFormat="1" ht="31.5" x14ac:dyDescent="0.25">
      <c r="A289" s="93" t="s">
        <v>207</v>
      </c>
      <c r="B289" s="94" t="s">
        <v>209</v>
      </c>
      <c r="C289" s="94"/>
      <c r="D289" s="95">
        <v>595.9</v>
      </c>
    </row>
    <row r="290" spans="1:14" s="87" customFormat="1" ht="15.75" x14ac:dyDescent="0.25">
      <c r="A290" s="97" t="s">
        <v>46</v>
      </c>
      <c r="B290" s="98" t="s">
        <v>209</v>
      </c>
      <c r="C290" s="94" t="s">
        <v>47</v>
      </c>
      <c r="D290" s="99">
        <v>595.9</v>
      </c>
    </row>
    <row r="291" spans="1:14" s="87" customFormat="1" ht="15.75" x14ac:dyDescent="0.25">
      <c r="A291" s="93" t="s">
        <v>210</v>
      </c>
      <c r="B291" s="94" t="s">
        <v>211</v>
      </c>
      <c r="C291" s="94"/>
      <c r="D291" s="95">
        <f>D292</f>
        <v>45052.334000000003</v>
      </c>
    </row>
    <row r="292" spans="1:14" s="87" customFormat="1" ht="15.75" x14ac:dyDescent="0.25">
      <c r="A292" s="97" t="s">
        <v>46</v>
      </c>
      <c r="B292" s="94" t="s">
        <v>211</v>
      </c>
      <c r="C292" s="94" t="s">
        <v>47</v>
      </c>
      <c r="D292" s="95">
        <f>8966.3+29646.688+1216.334+1600+700.5+315+335.75+200.567+2071.195</f>
        <v>45052.334000000003</v>
      </c>
    </row>
    <row r="293" spans="1:14" s="87" customFormat="1" ht="15.75" x14ac:dyDescent="0.25">
      <c r="A293" s="93" t="s">
        <v>212</v>
      </c>
      <c r="B293" s="94" t="s">
        <v>213</v>
      </c>
      <c r="C293" s="94"/>
      <c r="D293" s="95">
        <f>D294+D295+D296</f>
        <v>13770.575000000001</v>
      </c>
    </row>
    <row r="294" spans="1:14" s="87" customFormat="1" ht="47.25" x14ac:dyDescent="0.25">
      <c r="A294" s="93" t="s">
        <v>29</v>
      </c>
      <c r="B294" s="94" t="s">
        <v>213</v>
      </c>
      <c r="C294" s="94" t="s">
        <v>30</v>
      </c>
      <c r="D294" s="95">
        <f>11245.363+741.275+1286.815-35.15-20.3</f>
        <v>13218.003000000001</v>
      </c>
    </row>
    <row r="295" spans="1:14" s="87" customFormat="1" ht="15.75" x14ac:dyDescent="0.25">
      <c r="A295" s="100" t="s">
        <v>33</v>
      </c>
      <c r="B295" s="98" t="s">
        <v>213</v>
      </c>
      <c r="C295" s="94" t="s">
        <v>7</v>
      </c>
      <c r="D295" s="99">
        <v>551.34199999999998</v>
      </c>
    </row>
    <row r="296" spans="1:14" s="87" customFormat="1" ht="15.75" x14ac:dyDescent="0.25">
      <c r="A296" s="100" t="s">
        <v>196</v>
      </c>
      <c r="B296" s="98" t="s">
        <v>213</v>
      </c>
      <c r="C296" s="94" t="s">
        <v>44</v>
      </c>
      <c r="D296" s="99">
        <f>-1+2.23</f>
        <v>1.23</v>
      </c>
    </row>
    <row r="297" spans="1:14" s="87" customFormat="1" ht="31.5" x14ac:dyDescent="0.25">
      <c r="A297" s="93" t="s">
        <v>31</v>
      </c>
      <c r="B297" s="94" t="s">
        <v>214</v>
      </c>
      <c r="C297" s="94"/>
      <c r="D297" s="95">
        <v>19.013000000000002</v>
      </c>
    </row>
    <row r="298" spans="1:14" s="87" customFormat="1" ht="15.75" x14ac:dyDescent="0.25">
      <c r="A298" s="100" t="s">
        <v>33</v>
      </c>
      <c r="B298" s="98" t="s">
        <v>214</v>
      </c>
      <c r="C298" s="94" t="s">
        <v>7</v>
      </c>
      <c r="D298" s="99">
        <v>19.013000000000002</v>
      </c>
    </row>
    <row r="299" spans="1:14" s="87" customFormat="1" ht="15.75" x14ac:dyDescent="0.25">
      <c r="A299" s="93" t="s">
        <v>215</v>
      </c>
      <c r="B299" s="94" t="s">
        <v>216</v>
      </c>
      <c r="C299" s="94"/>
      <c r="D299" s="95">
        <v>7677</v>
      </c>
    </row>
    <row r="300" spans="1:14" s="87" customFormat="1" ht="15.75" x14ac:dyDescent="0.25">
      <c r="A300" s="97" t="s">
        <v>46</v>
      </c>
      <c r="B300" s="94" t="s">
        <v>216</v>
      </c>
      <c r="C300" s="94" t="s">
        <v>47</v>
      </c>
      <c r="D300" s="95">
        <v>7677</v>
      </c>
    </row>
    <row r="301" spans="1:14" s="87" customFormat="1" ht="15.75" x14ac:dyDescent="0.25">
      <c r="A301" s="93" t="s">
        <v>88</v>
      </c>
      <c r="B301" s="94" t="s">
        <v>397</v>
      </c>
      <c r="C301" s="94"/>
      <c r="D301" s="95">
        <f>D302</f>
        <v>40263.474999999999</v>
      </c>
    </row>
    <row r="302" spans="1:14" s="87" customFormat="1" ht="15.75" x14ac:dyDescent="0.25">
      <c r="A302" s="93" t="s">
        <v>89</v>
      </c>
      <c r="B302" s="94" t="s">
        <v>398</v>
      </c>
      <c r="C302" s="94"/>
      <c r="D302" s="95">
        <f>D303+D304+D305</f>
        <v>40263.474999999999</v>
      </c>
    </row>
    <row r="303" spans="1:14" s="87" customFormat="1" ht="47.25" x14ac:dyDescent="0.25">
      <c r="A303" s="93" t="s">
        <v>29</v>
      </c>
      <c r="B303" s="94" t="s">
        <v>398</v>
      </c>
      <c r="C303" s="94" t="s">
        <v>30</v>
      </c>
      <c r="D303" s="95">
        <f>29973.394+1164.117-4.3+2469.865+745.899</f>
        <v>34348.974999999999</v>
      </c>
    </row>
    <row r="304" spans="1:14" s="87" customFormat="1" ht="15.75" x14ac:dyDescent="0.25">
      <c r="A304" s="100" t="s">
        <v>33</v>
      </c>
      <c r="B304" s="98" t="s">
        <v>398</v>
      </c>
      <c r="C304" s="94" t="s">
        <v>7</v>
      </c>
      <c r="D304" s="99">
        <v>5768.5</v>
      </c>
      <c r="E304" s="90"/>
      <c r="F304" s="90"/>
      <c r="G304" s="90"/>
      <c r="H304" s="90"/>
      <c r="I304" s="90"/>
      <c r="J304" s="90"/>
      <c r="K304" s="90"/>
      <c r="L304" s="90"/>
      <c r="M304" s="90"/>
      <c r="N304" s="90"/>
    </row>
    <row r="305" spans="1:4" s="87" customFormat="1" ht="15.75" x14ac:dyDescent="0.25">
      <c r="A305" s="100" t="s">
        <v>196</v>
      </c>
      <c r="B305" s="98" t="s">
        <v>398</v>
      </c>
      <c r="C305" s="94" t="s">
        <v>44</v>
      </c>
      <c r="D305" s="99">
        <v>146</v>
      </c>
    </row>
    <row r="306" spans="1:4" s="87" customFormat="1" ht="31.5" x14ac:dyDescent="0.25">
      <c r="A306" s="101" t="s">
        <v>90</v>
      </c>
      <c r="B306" s="102" t="s">
        <v>340</v>
      </c>
      <c r="C306" s="102"/>
      <c r="D306" s="103">
        <f>D307+D310+D313+D322+D331</f>
        <v>18632.091</v>
      </c>
    </row>
    <row r="307" spans="1:4" s="87" customFormat="1" ht="15.75" x14ac:dyDescent="0.25">
      <c r="A307" s="93" t="s">
        <v>197</v>
      </c>
      <c r="B307" s="94" t="s">
        <v>459</v>
      </c>
      <c r="C307" s="94"/>
      <c r="D307" s="95">
        <v>2387</v>
      </c>
    </row>
    <row r="308" spans="1:4" s="87" customFormat="1" ht="47.25" x14ac:dyDescent="0.25">
      <c r="A308" s="93" t="s">
        <v>198</v>
      </c>
      <c r="B308" s="94" t="s">
        <v>460</v>
      </c>
      <c r="C308" s="94"/>
      <c r="D308" s="95">
        <v>2387</v>
      </c>
    </row>
    <row r="309" spans="1:4" s="87" customFormat="1" ht="15.75" x14ac:dyDescent="0.25">
      <c r="A309" s="100" t="s">
        <v>71</v>
      </c>
      <c r="B309" s="98" t="s">
        <v>460</v>
      </c>
      <c r="C309" s="94" t="s">
        <v>8</v>
      </c>
      <c r="D309" s="99">
        <v>2387</v>
      </c>
    </row>
    <row r="310" spans="1:4" s="87" customFormat="1" ht="15.75" x14ac:dyDescent="0.25">
      <c r="A310" s="93" t="s">
        <v>199</v>
      </c>
      <c r="B310" s="94" t="s">
        <v>461</v>
      </c>
      <c r="C310" s="94"/>
      <c r="D310" s="95">
        <v>155</v>
      </c>
    </row>
    <row r="311" spans="1:4" s="87" customFormat="1" ht="15.75" x14ac:dyDescent="0.25">
      <c r="A311" s="93" t="s">
        <v>200</v>
      </c>
      <c r="B311" s="94" t="s">
        <v>462</v>
      </c>
      <c r="C311" s="94"/>
      <c r="D311" s="95">
        <v>155</v>
      </c>
    </row>
    <row r="312" spans="1:4" s="87" customFormat="1" ht="31.5" x14ac:dyDescent="0.25">
      <c r="A312" s="100" t="s">
        <v>105</v>
      </c>
      <c r="B312" s="94" t="s">
        <v>462</v>
      </c>
      <c r="C312" s="94" t="s">
        <v>106</v>
      </c>
      <c r="D312" s="95">
        <v>155</v>
      </c>
    </row>
    <row r="313" spans="1:4" s="87" customFormat="1" ht="15.75" x14ac:dyDescent="0.25">
      <c r="A313" s="93" t="s">
        <v>91</v>
      </c>
      <c r="B313" s="94" t="s">
        <v>399</v>
      </c>
      <c r="C313" s="94"/>
      <c r="D313" s="95">
        <f>D314+D318+D320</f>
        <v>9843.9380000000001</v>
      </c>
    </row>
    <row r="314" spans="1:4" s="87" customFormat="1" ht="15.75" x14ac:dyDescent="0.25">
      <c r="A314" s="93" t="s">
        <v>486</v>
      </c>
      <c r="B314" s="94" t="s">
        <v>485</v>
      </c>
      <c r="C314" s="94"/>
      <c r="D314" s="95">
        <f>D315</f>
        <v>414.96100000000001</v>
      </c>
    </row>
    <row r="315" spans="1:4" s="87" customFormat="1" ht="31.5" x14ac:dyDescent="0.25">
      <c r="A315" s="93" t="s">
        <v>400</v>
      </c>
      <c r="B315" s="94" t="s">
        <v>401</v>
      </c>
      <c r="C315" s="94"/>
      <c r="D315" s="95">
        <f>D316+D317</f>
        <v>414.96100000000001</v>
      </c>
    </row>
    <row r="316" spans="1:4" s="87" customFormat="1" ht="47.25" x14ac:dyDescent="0.25">
      <c r="A316" s="93" t="s">
        <v>29</v>
      </c>
      <c r="B316" s="98" t="s">
        <v>401</v>
      </c>
      <c r="C316" s="94" t="s">
        <v>30</v>
      </c>
      <c r="D316" s="95">
        <v>55.284999999999997</v>
      </c>
    </row>
    <row r="317" spans="1:4" s="87" customFormat="1" ht="15.75" x14ac:dyDescent="0.25">
      <c r="A317" s="100" t="s">
        <v>33</v>
      </c>
      <c r="B317" s="98" t="s">
        <v>401</v>
      </c>
      <c r="C317" s="94" t="s">
        <v>7</v>
      </c>
      <c r="D317" s="99">
        <f>411.254-55.285+3.746-0.039</f>
        <v>359.67600000000004</v>
      </c>
    </row>
    <row r="318" spans="1:4" s="87" customFormat="1" ht="15.75" x14ac:dyDescent="0.25">
      <c r="A318" s="93" t="s">
        <v>92</v>
      </c>
      <c r="B318" s="94" t="s">
        <v>402</v>
      </c>
      <c r="C318" s="94"/>
      <c r="D318" s="95">
        <v>3</v>
      </c>
    </row>
    <row r="319" spans="1:4" s="87" customFormat="1" ht="15.75" x14ac:dyDescent="0.25">
      <c r="A319" s="100" t="s">
        <v>33</v>
      </c>
      <c r="B319" s="94" t="s">
        <v>402</v>
      </c>
      <c r="C319" s="94" t="s">
        <v>7</v>
      </c>
      <c r="D319" s="95">
        <v>3</v>
      </c>
    </row>
    <row r="320" spans="1:4" s="87" customFormat="1" ht="31.5" x14ac:dyDescent="0.25">
      <c r="A320" s="93" t="s">
        <v>201</v>
      </c>
      <c r="B320" s="94" t="s">
        <v>463</v>
      </c>
      <c r="C320" s="94"/>
      <c r="D320" s="95">
        <v>9425.9770000000008</v>
      </c>
    </row>
    <row r="321" spans="1:14" s="87" customFormat="1" ht="31.5" x14ac:dyDescent="0.25">
      <c r="A321" s="100" t="s">
        <v>105</v>
      </c>
      <c r="B321" s="98" t="s">
        <v>463</v>
      </c>
      <c r="C321" s="94" t="s">
        <v>106</v>
      </c>
      <c r="D321" s="99">
        <v>9425.9770000000008</v>
      </c>
    </row>
    <row r="322" spans="1:14" s="87" customFormat="1" ht="15.75" x14ac:dyDescent="0.25">
      <c r="A322" s="93" t="s">
        <v>93</v>
      </c>
      <c r="B322" s="94" t="s">
        <v>341</v>
      </c>
      <c r="C322" s="94"/>
      <c r="D322" s="95">
        <v>6214.1530000000002</v>
      </c>
    </row>
    <row r="323" spans="1:14" s="87" customFormat="1" ht="31.5" x14ac:dyDescent="0.25">
      <c r="A323" s="93" t="s">
        <v>94</v>
      </c>
      <c r="B323" s="94" t="s">
        <v>342</v>
      </c>
      <c r="C323" s="94"/>
      <c r="D323" s="95">
        <v>6214.1530000000002</v>
      </c>
    </row>
    <row r="324" spans="1:14" s="87" customFormat="1" ht="15.75" x14ac:dyDescent="0.25">
      <c r="A324" s="100" t="s">
        <v>33</v>
      </c>
      <c r="B324" s="94" t="s">
        <v>342</v>
      </c>
      <c r="C324" s="94" t="s">
        <v>7</v>
      </c>
      <c r="D324" s="95">
        <v>30</v>
      </c>
    </row>
    <row r="325" spans="1:14" s="87" customFormat="1" ht="15.75" x14ac:dyDescent="0.25">
      <c r="A325" s="93" t="s">
        <v>95</v>
      </c>
      <c r="B325" s="94" t="s">
        <v>403</v>
      </c>
      <c r="C325" s="94"/>
      <c r="D325" s="95">
        <v>300</v>
      </c>
    </row>
    <row r="326" spans="1:14" s="87" customFormat="1" ht="15.75" x14ac:dyDescent="0.25">
      <c r="A326" s="97" t="s">
        <v>46</v>
      </c>
      <c r="B326" s="98" t="s">
        <v>403</v>
      </c>
      <c r="C326" s="94" t="s">
        <v>47</v>
      </c>
      <c r="D326" s="99">
        <v>300</v>
      </c>
    </row>
    <row r="327" spans="1:14" s="87" customFormat="1" ht="31.5" x14ac:dyDescent="0.25">
      <c r="A327" s="93" t="s">
        <v>96</v>
      </c>
      <c r="B327" s="94" t="s">
        <v>404</v>
      </c>
      <c r="C327" s="94"/>
      <c r="D327" s="95">
        <v>900</v>
      </c>
    </row>
    <row r="328" spans="1:14" s="87" customFormat="1" ht="15.75" x14ac:dyDescent="0.25">
      <c r="A328" s="97" t="s">
        <v>46</v>
      </c>
      <c r="B328" s="98" t="s">
        <v>404</v>
      </c>
      <c r="C328" s="94" t="s">
        <v>47</v>
      </c>
      <c r="D328" s="99">
        <v>900</v>
      </c>
    </row>
    <row r="329" spans="1:14" s="87" customFormat="1" ht="31.5" x14ac:dyDescent="0.25">
      <c r="A329" s="93" t="s">
        <v>124</v>
      </c>
      <c r="B329" s="94" t="s">
        <v>343</v>
      </c>
      <c r="C329" s="94"/>
      <c r="D329" s="95">
        <v>4984.1530000000002</v>
      </c>
    </row>
    <row r="330" spans="1:14" s="87" customFormat="1" ht="31.5" x14ac:dyDescent="0.25">
      <c r="A330" s="100" t="s">
        <v>105</v>
      </c>
      <c r="B330" s="98" t="s">
        <v>343</v>
      </c>
      <c r="C330" s="94" t="s">
        <v>106</v>
      </c>
      <c r="D330" s="99">
        <v>4984.1530000000002</v>
      </c>
    </row>
    <row r="331" spans="1:14" s="87" customFormat="1" ht="15.75" x14ac:dyDescent="0.25">
      <c r="A331" s="93" t="s">
        <v>97</v>
      </c>
      <c r="B331" s="94" t="s">
        <v>405</v>
      </c>
      <c r="C331" s="94"/>
      <c r="D331" s="95">
        <v>32</v>
      </c>
    </row>
    <row r="332" spans="1:14" s="87" customFormat="1" ht="15.75" x14ac:dyDescent="0.25">
      <c r="A332" s="93" t="s">
        <v>98</v>
      </c>
      <c r="B332" s="94" t="s">
        <v>500</v>
      </c>
      <c r="C332" s="94"/>
      <c r="D332" s="95">
        <v>1</v>
      </c>
    </row>
    <row r="333" spans="1:14" s="87" customFormat="1" ht="15.75" x14ac:dyDescent="0.25">
      <c r="A333" s="97" t="s">
        <v>46</v>
      </c>
      <c r="B333" s="94" t="s">
        <v>500</v>
      </c>
      <c r="C333" s="94" t="s">
        <v>47</v>
      </c>
      <c r="D333" s="95">
        <v>1</v>
      </c>
      <c r="E333" s="90"/>
      <c r="F333" s="90"/>
      <c r="G333" s="90"/>
      <c r="H333" s="90"/>
      <c r="I333" s="90"/>
      <c r="J333" s="90"/>
      <c r="K333" s="90"/>
      <c r="L333" s="90"/>
      <c r="M333" s="90"/>
      <c r="N333" s="90"/>
    </row>
    <row r="334" spans="1:14" s="90" customFormat="1" ht="15.75" x14ac:dyDescent="0.25">
      <c r="A334" s="93" t="s">
        <v>99</v>
      </c>
      <c r="B334" s="94" t="s">
        <v>499</v>
      </c>
      <c r="C334" s="94"/>
      <c r="D334" s="95">
        <v>31</v>
      </c>
      <c r="E334" s="87"/>
      <c r="F334" s="87"/>
      <c r="G334" s="87"/>
      <c r="H334" s="87"/>
      <c r="I334" s="87"/>
      <c r="J334" s="87"/>
      <c r="K334" s="87"/>
      <c r="L334" s="87"/>
      <c r="M334" s="87"/>
      <c r="N334" s="87"/>
    </row>
    <row r="335" spans="1:14" s="87" customFormat="1" ht="15.75" x14ac:dyDescent="0.25">
      <c r="A335" s="97" t="s">
        <v>46</v>
      </c>
      <c r="B335" s="94" t="s">
        <v>499</v>
      </c>
      <c r="C335" s="94" t="s">
        <v>47</v>
      </c>
      <c r="D335" s="95">
        <v>31</v>
      </c>
    </row>
    <row r="336" spans="1:14" s="87" customFormat="1" ht="15.75" x14ac:dyDescent="0.25">
      <c r="A336" s="101" t="s">
        <v>100</v>
      </c>
      <c r="B336" s="102" t="s">
        <v>406</v>
      </c>
      <c r="C336" s="102"/>
      <c r="D336" s="103">
        <f>D337</f>
        <v>600</v>
      </c>
    </row>
    <row r="337" spans="1:14" s="87" customFormat="1" ht="31.5" x14ac:dyDescent="0.25">
      <c r="A337" s="93" t="s">
        <v>101</v>
      </c>
      <c r="B337" s="94" t="s">
        <v>407</v>
      </c>
      <c r="C337" s="94"/>
      <c r="D337" s="95">
        <f>630-30</f>
        <v>600</v>
      </c>
    </row>
    <row r="338" spans="1:14" s="87" customFormat="1" ht="31.5" x14ac:dyDescent="0.25">
      <c r="A338" s="93" t="s">
        <v>102</v>
      </c>
      <c r="B338" s="94" t="s">
        <v>408</v>
      </c>
      <c r="C338" s="94"/>
      <c r="D338" s="95">
        <f>D339</f>
        <v>10</v>
      </c>
    </row>
    <row r="339" spans="1:14" s="87" customFormat="1" ht="15.75" x14ac:dyDescent="0.25">
      <c r="A339" s="100" t="s">
        <v>71</v>
      </c>
      <c r="B339" s="94" t="s">
        <v>408</v>
      </c>
      <c r="C339" s="94" t="s">
        <v>8</v>
      </c>
      <c r="D339" s="95">
        <f>-30+40</f>
        <v>10</v>
      </c>
    </row>
    <row r="340" spans="1:14" s="87" customFormat="1" ht="15.75" x14ac:dyDescent="0.25">
      <c r="A340" s="93" t="s">
        <v>103</v>
      </c>
      <c r="B340" s="94" t="s">
        <v>409</v>
      </c>
      <c r="C340" s="94"/>
      <c r="D340" s="95">
        <v>50</v>
      </c>
    </row>
    <row r="341" spans="1:14" s="87" customFormat="1" ht="15.75" x14ac:dyDescent="0.25">
      <c r="A341" s="100" t="s">
        <v>33</v>
      </c>
      <c r="B341" s="94" t="s">
        <v>409</v>
      </c>
      <c r="C341" s="94" t="s">
        <v>7</v>
      </c>
      <c r="D341" s="95">
        <v>50</v>
      </c>
    </row>
    <row r="342" spans="1:14" s="87" customFormat="1" ht="15.75" x14ac:dyDescent="0.25">
      <c r="A342" s="93" t="s">
        <v>104</v>
      </c>
      <c r="B342" s="94" t="s">
        <v>410</v>
      </c>
      <c r="C342" s="94"/>
      <c r="D342" s="95">
        <v>470</v>
      </c>
    </row>
    <row r="343" spans="1:14" s="87" customFormat="1" ht="31.5" x14ac:dyDescent="0.3">
      <c r="A343" s="100" t="s">
        <v>105</v>
      </c>
      <c r="B343" s="94" t="s">
        <v>410</v>
      </c>
      <c r="C343" s="94" t="s">
        <v>106</v>
      </c>
      <c r="D343" s="95">
        <v>470</v>
      </c>
      <c r="E343" s="91"/>
      <c r="F343" s="91"/>
      <c r="G343" s="91"/>
      <c r="H343" s="91"/>
      <c r="I343" s="91"/>
      <c r="J343" s="91"/>
      <c r="K343" s="91"/>
      <c r="L343" s="91"/>
      <c r="M343" s="91"/>
      <c r="N343" s="91"/>
    </row>
    <row r="344" spans="1:14" s="91" customFormat="1" x14ac:dyDescent="0.3">
      <c r="A344" s="93" t="s">
        <v>107</v>
      </c>
      <c r="B344" s="94" t="s">
        <v>411</v>
      </c>
      <c r="C344" s="94"/>
      <c r="D344" s="95">
        <v>70</v>
      </c>
      <c r="E344" s="92"/>
      <c r="F344" s="92"/>
      <c r="G344" s="92"/>
      <c r="H344" s="92"/>
      <c r="I344" s="92"/>
      <c r="J344" s="92"/>
      <c r="K344" s="92"/>
      <c r="L344" s="92"/>
      <c r="M344" s="92"/>
      <c r="N344" s="92"/>
    </row>
    <row r="345" spans="1:14" s="92" customFormat="1" ht="31.5" x14ac:dyDescent="0.3">
      <c r="A345" s="100" t="s">
        <v>105</v>
      </c>
      <c r="B345" s="94" t="s">
        <v>411</v>
      </c>
      <c r="C345" s="94" t="s">
        <v>106</v>
      </c>
      <c r="D345" s="95">
        <v>70</v>
      </c>
    </row>
    <row r="346" spans="1:14" s="92" customFormat="1" x14ac:dyDescent="0.3">
      <c r="A346" s="101" t="s">
        <v>23</v>
      </c>
      <c r="B346" s="102" t="s">
        <v>24</v>
      </c>
      <c r="C346" s="102"/>
      <c r="D346" s="103">
        <f>D347</f>
        <v>33645.383849999998</v>
      </c>
    </row>
    <row r="347" spans="1:14" s="92" customFormat="1" x14ac:dyDescent="0.3">
      <c r="A347" s="93" t="s">
        <v>25</v>
      </c>
      <c r="B347" s="94" t="s">
        <v>26</v>
      </c>
      <c r="C347" s="94"/>
      <c r="D347" s="95">
        <f>D348+D351+D353+D355+D357+D359+D361+D363+D366+D369+D372+D375+D377+D379+D383+D385+D388+D390</f>
        <v>33645.383849999998</v>
      </c>
    </row>
    <row r="348" spans="1:14" s="92" customFormat="1" ht="32.25" x14ac:dyDescent="0.3">
      <c r="A348" s="93" t="s">
        <v>108</v>
      </c>
      <c r="B348" s="94" t="s">
        <v>412</v>
      </c>
      <c r="C348" s="94"/>
      <c r="D348" s="95">
        <f>D349+D350</f>
        <v>3232.15</v>
      </c>
    </row>
    <row r="349" spans="1:14" s="92" customFormat="1" ht="48" x14ac:dyDescent="0.3">
      <c r="A349" s="93" t="s">
        <v>29</v>
      </c>
      <c r="B349" s="98" t="s">
        <v>412</v>
      </c>
      <c r="C349" s="94" t="s">
        <v>30</v>
      </c>
      <c r="D349" s="99">
        <f>56.462+856.217+2315.171+4.3</f>
        <v>3232.15</v>
      </c>
    </row>
    <row r="350" spans="1:14" s="92" customFormat="1" x14ac:dyDescent="0.3">
      <c r="A350" s="100" t="s">
        <v>33</v>
      </c>
      <c r="B350" s="98" t="s">
        <v>412</v>
      </c>
      <c r="C350" s="94" t="s">
        <v>7</v>
      </c>
      <c r="D350" s="99">
        <v>0</v>
      </c>
    </row>
    <row r="351" spans="1:14" s="92" customFormat="1" x14ac:dyDescent="0.3">
      <c r="A351" s="93" t="s">
        <v>27</v>
      </c>
      <c r="B351" s="94" t="s">
        <v>28</v>
      </c>
      <c r="C351" s="94"/>
      <c r="D351" s="95">
        <f>D352</f>
        <v>916.74300000000005</v>
      </c>
    </row>
    <row r="352" spans="1:14" s="92" customFormat="1" ht="48" x14ac:dyDescent="0.3">
      <c r="A352" s="93" t="s">
        <v>29</v>
      </c>
      <c r="B352" s="98" t="s">
        <v>28</v>
      </c>
      <c r="C352" s="94" t="s">
        <v>30</v>
      </c>
      <c r="D352" s="99">
        <f>76.623+840.12</f>
        <v>916.74300000000005</v>
      </c>
    </row>
    <row r="353" spans="1:4" s="92" customFormat="1" x14ac:dyDescent="0.3">
      <c r="A353" s="93" t="s">
        <v>109</v>
      </c>
      <c r="B353" s="94" t="s">
        <v>413</v>
      </c>
      <c r="C353" s="94"/>
      <c r="D353" s="95">
        <f>D354</f>
        <v>1578.13185</v>
      </c>
    </row>
    <row r="354" spans="1:4" s="92" customFormat="1" x14ac:dyDescent="0.3">
      <c r="A354" s="100" t="s">
        <v>196</v>
      </c>
      <c r="B354" s="98" t="s">
        <v>413</v>
      </c>
      <c r="C354" s="94" t="s">
        <v>44</v>
      </c>
      <c r="D354" s="99">
        <f>-0.04115+1578.173</f>
        <v>1578.13185</v>
      </c>
    </row>
    <row r="355" spans="1:4" s="92" customFormat="1" ht="32.25" x14ac:dyDescent="0.3">
      <c r="A355" s="93" t="s">
        <v>217</v>
      </c>
      <c r="B355" s="94" t="s">
        <v>218</v>
      </c>
      <c r="C355" s="94"/>
      <c r="D355" s="95">
        <v>1281.9000000000001</v>
      </c>
    </row>
    <row r="356" spans="1:4" s="92" customFormat="1" x14ac:dyDescent="0.3">
      <c r="A356" s="97" t="s">
        <v>46</v>
      </c>
      <c r="B356" s="98" t="s">
        <v>218</v>
      </c>
      <c r="C356" s="94" t="s">
        <v>47</v>
      </c>
      <c r="D356" s="99">
        <v>1281.9000000000001</v>
      </c>
    </row>
    <row r="357" spans="1:4" s="92" customFormat="1" ht="32.25" x14ac:dyDescent="0.3">
      <c r="A357" s="93" t="s">
        <v>110</v>
      </c>
      <c r="B357" s="94" t="s">
        <v>414</v>
      </c>
      <c r="C357" s="94"/>
      <c r="D357" s="95">
        <v>12.3</v>
      </c>
    </row>
    <row r="358" spans="1:4" s="92" customFormat="1" x14ac:dyDescent="0.3">
      <c r="A358" s="100" t="s">
        <v>33</v>
      </c>
      <c r="B358" s="98" t="s">
        <v>414</v>
      </c>
      <c r="C358" s="94" t="s">
        <v>7</v>
      </c>
      <c r="D358" s="99">
        <v>12.3</v>
      </c>
    </row>
    <row r="359" spans="1:4" s="92" customFormat="1" ht="32.25" x14ac:dyDescent="0.3">
      <c r="A359" s="93" t="s">
        <v>219</v>
      </c>
      <c r="B359" s="94" t="s">
        <v>220</v>
      </c>
      <c r="C359" s="94"/>
      <c r="D359" s="95">
        <v>49.5</v>
      </c>
    </row>
    <row r="360" spans="1:4" s="92" customFormat="1" x14ac:dyDescent="0.3">
      <c r="A360" s="97" t="s">
        <v>46</v>
      </c>
      <c r="B360" s="98" t="s">
        <v>220</v>
      </c>
      <c r="C360" s="94" t="s">
        <v>47</v>
      </c>
      <c r="D360" s="99">
        <v>49.5</v>
      </c>
    </row>
    <row r="361" spans="1:4" s="92" customFormat="1" ht="32.25" x14ac:dyDescent="0.3">
      <c r="A361" s="93" t="s">
        <v>31</v>
      </c>
      <c r="B361" s="94" t="s">
        <v>32</v>
      </c>
      <c r="C361" s="94"/>
      <c r="D361" s="95">
        <v>20.646000000000001</v>
      </c>
    </row>
    <row r="362" spans="1:4" s="92" customFormat="1" x14ac:dyDescent="0.3">
      <c r="A362" s="100" t="s">
        <v>33</v>
      </c>
      <c r="B362" s="98" t="s">
        <v>32</v>
      </c>
      <c r="C362" s="94" t="s">
        <v>7</v>
      </c>
      <c r="D362" s="99">
        <v>20.646000000000001</v>
      </c>
    </row>
    <row r="363" spans="1:4" s="92" customFormat="1" ht="48" x14ac:dyDescent="0.3">
      <c r="A363" s="93" t="s">
        <v>415</v>
      </c>
      <c r="B363" s="94" t="s">
        <v>416</v>
      </c>
      <c r="C363" s="94"/>
      <c r="D363" s="95">
        <f>D364+D365</f>
        <v>55.8</v>
      </c>
    </row>
    <row r="364" spans="1:4" s="92" customFormat="1" ht="48" x14ac:dyDescent="0.3">
      <c r="A364" s="93" t="s">
        <v>29</v>
      </c>
      <c r="B364" s="98" t="s">
        <v>416</v>
      </c>
      <c r="C364" s="94" t="s">
        <v>30</v>
      </c>
      <c r="D364" s="99">
        <f>11.1+31.126+0.8</f>
        <v>43.025999999999996</v>
      </c>
    </row>
    <row r="365" spans="1:4" s="92" customFormat="1" x14ac:dyDescent="0.3">
      <c r="A365" s="100" t="s">
        <v>33</v>
      </c>
      <c r="B365" s="98" t="s">
        <v>416</v>
      </c>
      <c r="C365" s="94" t="s">
        <v>7</v>
      </c>
      <c r="D365" s="99">
        <f>20.374-11.1+3.5</f>
        <v>12.773999999999999</v>
      </c>
    </row>
    <row r="366" spans="1:4" s="92" customFormat="1" ht="48" x14ac:dyDescent="0.3">
      <c r="A366" s="96" t="s">
        <v>202</v>
      </c>
      <c r="B366" s="94" t="s">
        <v>464</v>
      </c>
      <c r="C366" s="94"/>
      <c r="D366" s="95">
        <f>D367+D368</f>
        <v>1737.9</v>
      </c>
    </row>
    <row r="367" spans="1:4" s="92" customFormat="1" ht="48" x14ac:dyDescent="0.3">
      <c r="A367" s="93" t="s">
        <v>29</v>
      </c>
      <c r="B367" s="98" t="s">
        <v>464</v>
      </c>
      <c r="C367" s="94" t="s">
        <v>30</v>
      </c>
      <c r="D367" s="99">
        <f>1456.125+131.775</f>
        <v>1587.9</v>
      </c>
    </row>
    <row r="368" spans="1:4" s="92" customFormat="1" x14ac:dyDescent="0.3">
      <c r="A368" s="100" t="s">
        <v>33</v>
      </c>
      <c r="B368" s="98" t="s">
        <v>464</v>
      </c>
      <c r="C368" s="94" t="s">
        <v>7</v>
      </c>
      <c r="D368" s="99">
        <v>150</v>
      </c>
    </row>
    <row r="369" spans="1:4" s="92" customFormat="1" ht="48" x14ac:dyDescent="0.3">
      <c r="A369" s="93" t="s">
        <v>417</v>
      </c>
      <c r="B369" s="94" t="s">
        <v>418</v>
      </c>
      <c r="C369" s="94"/>
      <c r="D369" s="95">
        <f>D370+D371</f>
        <v>64.546000000000006</v>
      </c>
    </row>
    <row r="370" spans="1:4" s="92" customFormat="1" ht="48" x14ac:dyDescent="0.3">
      <c r="A370" s="93" t="s">
        <v>29</v>
      </c>
      <c r="B370" s="98" t="s">
        <v>418</v>
      </c>
      <c r="C370" s="94" t="s">
        <v>30</v>
      </c>
      <c r="D370" s="99">
        <f>55.34+3.662</f>
        <v>59.002000000000002</v>
      </c>
    </row>
    <row r="371" spans="1:4" s="92" customFormat="1" x14ac:dyDescent="0.3">
      <c r="A371" s="100" t="s">
        <v>33</v>
      </c>
      <c r="B371" s="98" t="s">
        <v>418</v>
      </c>
      <c r="C371" s="94" t="s">
        <v>7</v>
      </c>
      <c r="D371" s="99">
        <f>5.498+0.046</f>
        <v>5.5440000000000005</v>
      </c>
    </row>
    <row r="372" spans="1:4" s="92" customFormat="1" ht="95.25" x14ac:dyDescent="0.3">
      <c r="A372" s="96" t="s">
        <v>419</v>
      </c>
      <c r="B372" s="94" t="s">
        <v>420</v>
      </c>
      <c r="C372" s="94"/>
      <c r="D372" s="95">
        <f>D373+D374</f>
        <v>170.35900000000001</v>
      </c>
    </row>
    <row r="373" spans="1:4" s="92" customFormat="1" ht="48" x14ac:dyDescent="0.3">
      <c r="A373" s="93" t="s">
        <v>29</v>
      </c>
      <c r="B373" s="98" t="s">
        <v>420</v>
      </c>
      <c r="C373" s="94" t="s">
        <v>30</v>
      </c>
      <c r="D373" s="99">
        <f>207.321-44.675</f>
        <v>162.64600000000002</v>
      </c>
    </row>
    <row r="374" spans="1:4" s="92" customFormat="1" x14ac:dyDescent="0.3">
      <c r="A374" s="100" t="s">
        <v>33</v>
      </c>
      <c r="B374" s="98" t="s">
        <v>420</v>
      </c>
      <c r="C374" s="94" t="s">
        <v>7</v>
      </c>
      <c r="D374" s="99">
        <f>7.754-0.041</f>
        <v>7.7129999999999992</v>
      </c>
    </row>
    <row r="375" spans="1:4" s="92" customFormat="1" ht="63.75" x14ac:dyDescent="0.3">
      <c r="A375" s="96" t="s">
        <v>221</v>
      </c>
      <c r="B375" s="94" t="s">
        <v>222</v>
      </c>
      <c r="C375" s="94"/>
      <c r="D375" s="95">
        <v>2.5</v>
      </c>
    </row>
    <row r="376" spans="1:4" s="92" customFormat="1" x14ac:dyDescent="0.3">
      <c r="A376" s="100" t="s">
        <v>33</v>
      </c>
      <c r="B376" s="98" t="s">
        <v>222</v>
      </c>
      <c r="C376" s="94" t="s">
        <v>7</v>
      </c>
      <c r="D376" s="99">
        <v>2.5</v>
      </c>
    </row>
    <row r="377" spans="1:4" s="92" customFormat="1" ht="111" x14ac:dyDescent="0.3">
      <c r="A377" s="96" t="s">
        <v>223</v>
      </c>
      <c r="B377" s="94" t="s">
        <v>224</v>
      </c>
      <c r="C377" s="94"/>
      <c r="D377" s="95">
        <v>4</v>
      </c>
    </row>
    <row r="378" spans="1:4" s="92" customFormat="1" x14ac:dyDescent="0.3">
      <c r="A378" s="100" t="s">
        <v>33</v>
      </c>
      <c r="B378" s="98" t="s">
        <v>224</v>
      </c>
      <c r="C378" s="94" t="s">
        <v>7</v>
      </c>
      <c r="D378" s="99">
        <v>4</v>
      </c>
    </row>
    <row r="379" spans="1:4" s="92" customFormat="1" ht="63.75" x14ac:dyDescent="0.3">
      <c r="A379" s="96" t="s">
        <v>111</v>
      </c>
      <c r="B379" s="94" t="s">
        <v>112</v>
      </c>
      <c r="C379" s="94"/>
      <c r="D379" s="95">
        <f>D381+D382+D380</f>
        <v>170.8</v>
      </c>
    </row>
    <row r="380" spans="1:4" s="92" customFormat="1" ht="48" x14ac:dyDescent="0.3">
      <c r="A380" s="93" t="s">
        <v>29</v>
      </c>
      <c r="B380" s="98" t="s">
        <v>112</v>
      </c>
      <c r="C380" s="94" t="s">
        <v>30</v>
      </c>
      <c r="D380" s="95">
        <v>3.9060000000000001</v>
      </c>
    </row>
    <row r="381" spans="1:4" s="92" customFormat="1" x14ac:dyDescent="0.3">
      <c r="A381" s="100" t="s">
        <v>33</v>
      </c>
      <c r="B381" s="98" t="s">
        <v>112</v>
      </c>
      <c r="C381" s="94" t="s">
        <v>7</v>
      </c>
      <c r="D381" s="99">
        <f>4.16+0.04-3.906</f>
        <v>0.29400000000000004</v>
      </c>
    </row>
    <row r="382" spans="1:4" s="92" customFormat="1" x14ac:dyDescent="0.3">
      <c r="A382" s="97" t="s">
        <v>46</v>
      </c>
      <c r="B382" s="98" t="s">
        <v>112</v>
      </c>
      <c r="C382" s="94" t="s">
        <v>47</v>
      </c>
      <c r="D382" s="99">
        <f>159.548+7.052</f>
        <v>166.6</v>
      </c>
    </row>
    <row r="383" spans="1:4" s="92" customFormat="1" ht="63.75" x14ac:dyDescent="0.3">
      <c r="A383" s="96" t="s">
        <v>225</v>
      </c>
      <c r="B383" s="94" t="s">
        <v>226</v>
      </c>
      <c r="C383" s="94"/>
      <c r="D383" s="95">
        <v>9</v>
      </c>
    </row>
    <row r="384" spans="1:4" s="92" customFormat="1" x14ac:dyDescent="0.3">
      <c r="A384" s="100" t="s">
        <v>33</v>
      </c>
      <c r="B384" s="98" t="s">
        <v>226</v>
      </c>
      <c r="C384" s="94" t="s">
        <v>7</v>
      </c>
      <c r="D384" s="99">
        <v>9</v>
      </c>
    </row>
    <row r="385" spans="1:4" s="92" customFormat="1" ht="48" x14ac:dyDescent="0.3">
      <c r="A385" s="93" t="s">
        <v>34</v>
      </c>
      <c r="B385" s="94" t="s">
        <v>35</v>
      </c>
      <c r="C385" s="94"/>
      <c r="D385" s="95">
        <f>D386+D387</f>
        <v>407.46</v>
      </c>
    </row>
    <row r="386" spans="1:4" s="92" customFormat="1" ht="48" x14ac:dyDescent="0.3">
      <c r="A386" s="93" t="s">
        <v>29</v>
      </c>
      <c r="B386" s="98" t="s">
        <v>35</v>
      </c>
      <c r="C386" s="94" t="s">
        <v>30</v>
      </c>
      <c r="D386" s="99">
        <v>390.57</v>
      </c>
    </row>
    <row r="387" spans="1:4" s="92" customFormat="1" x14ac:dyDescent="0.3">
      <c r="A387" s="100" t="s">
        <v>33</v>
      </c>
      <c r="B387" s="98" t="s">
        <v>35</v>
      </c>
      <c r="C387" s="94" t="s">
        <v>7</v>
      </c>
      <c r="D387" s="99">
        <v>16.89</v>
      </c>
    </row>
    <row r="388" spans="1:4" s="92" customFormat="1" ht="32.25" x14ac:dyDescent="0.3">
      <c r="A388" s="93" t="s">
        <v>113</v>
      </c>
      <c r="B388" s="94" t="s">
        <v>421</v>
      </c>
      <c r="C388" s="94"/>
      <c r="D388" s="95">
        <v>1500</v>
      </c>
    </row>
    <row r="389" spans="1:4" s="92" customFormat="1" x14ac:dyDescent="0.3">
      <c r="A389" s="100" t="s">
        <v>196</v>
      </c>
      <c r="B389" s="98" t="s">
        <v>421</v>
      </c>
      <c r="C389" s="94" t="s">
        <v>44</v>
      </c>
      <c r="D389" s="99">
        <v>1500</v>
      </c>
    </row>
    <row r="390" spans="1:4" s="92" customFormat="1" x14ac:dyDescent="0.3">
      <c r="A390" s="93" t="s">
        <v>38</v>
      </c>
      <c r="B390" s="94" t="s">
        <v>39</v>
      </c>
      <c r="C390" s="94"/>
      <c r="D390" s="95">
        <f>D391+D392+D393</f>
        <v>22431.648000000001</v>
      </c>
    </row>
    <row r="391" spans="1:4" s="92" customFormat="1" x14ac:dyDescent="0.3">
      <c r="A391" s="100" t="s">
        <v>33</v>
      </c>
      <c r="B391" s="98" t="s">
        <v>39</v>
      </c>
      <c r="C391" s="94" t="s">
        <v>7</v>
      </c>
      <c r="D391" s="99">
        <f>150+900</f>
        <v>1050</v>
      </c>
    </row>
    <row r="392" spans="1:4" s="92" customFormat="1" x14ac:dyDescent="0.3">
      <c r="A392" s="100" t="s">
        <v>71</v>
      </c>
      <c r="B392" s="98" t="s">
        <v>39</v>
      </c>
      <c r="C392" s="94" t="s">
        <v>8</v>
      </c>
      <c r="D392" s="99">
        <f>4661.695+383.255</f>
        <v>5044.95</v>
      </c>
    </row>
    <row r="393" spans="1:4" s="92" customFormat="1" x14ac:dyDescent="0.3">
      <c r="A393" s="100" t="s">
        <v>196</v>
      </c>
      <c r="B393" s="98" t="s">
        <v>39</v>
      </c>
      <c r="C393" s="94" t="s">
        <v>44</v>
      </c>
      <c r="D393" s="99">
        <f>16286.658+0.04+50</f>
        <v>16336.698</v>
      </c>
    </row>
    <row r="394" spans="1:4" s="92" customFormat="1" x14ac:dyDescent="0.3">
      <c r="A394" s="87"/>
      <c r="B394" s="87"/>
      <c r="C394" s="87"/>
      <c r="D394" s="87"/>
    </row>
    <row r="395" spans="1:4" s="92" customFormat="1" x14ac:dyDescent="0.3"/>
    <row r="396" spans="1:4" s="92" customFormat="1" x14ac:dyDescent="0.3"/>
    <row r="397" spans="1:4" s="92" customFormat="1" x14ac:dyDescent="0.3"/>
    <row r="398" spans="1:4" s="92" customFormat="1" x14ac:dyDescent="0.3"/>
    <row r="399" spans="1:4" s="92" customFormat="1" x14ac:dyDescent="0.3"/>
    <row r="400" spans="1:4" s="92" customFormat="1" x14ac:dyDescent="0.3"/>
    <row r="401" s="92" customFormat="1" x14ac:dyDescent="0.3"/>
    <row r="402" s="92" customFormat="1" x14ac:dyDescent="0.3"/>
    <row r="403" s="92" customFormat="1" x14ac:dyDescent="0.3"/>
    <row r="404" s="92" customFormat="1" x14ac:dyDescent="0.3"/>
    <row r="405" s="92" customFormat="1" x14ac:dyDescent="0.3"/>
    <row r="406" s="92" customFormat="1" x14ac:dyDescent="0.3"/>
    <row r="407" s="92" customFormat="1" x14ac:dyDescent="0.3"/>
    <row r="408" s="92" customFormat="1" x14ac:dyDescent="0.3"/>
    <row r="409" s="92" customFormat="1" x14ac:dyDescent="0.3"/>
    <row r="410" s="92" customFormat="1" x14ac:dyDescent="0.3"/>
    <row r="411" s="92" customFormat="1" x14ac:dyDescent="0.3"/>
    <row r="412" s="92" customFormat="1" x14ac:dyDescent="0.3"/>
    <row r="413" s="92" customFormat="1" x14ac:dyDescent="0.3"/>
    <row r="414" s="92" customFormat="1" x14ac:dyDescent="0.3"/>
    <row r="415" s="92" customFormat="1" x14ac:dyDescent="0.3"/>
    <row r="416" s="92" customFormat="1" x14ac:dyDescent="0.3"/>
    <row r="417" spans="1:14" s="92" customFormat="1" x14ac:dyDescent="0.3"/>
    <row r="418" spans="1:14" s="92" customFormat="1" x14ac:dyDescent="0.3"/>
    <row r="419" spans="1:14" s="92" customFormat="1" x14ac:dyDescent="0.3"/>
    <row r="420" spans="1:14" s="92" customFormat="1" x14ac:dyDescent="0.3"/>
    <row r="421" spans="1:14" s="92" customFormat="1" x14ac:dyDescent="0.3"/>
    <row r="422" spans="1:14" s="92" customFormat="1" x14ac:dyDescent="0.3"/>
    <row r="423" spans="1:14" s="92" customFormat="1" x14ac:dyDescent="0.3"/>
    <row r="424" spans="1:14" s="92" customFormat="1" x14ac:dyDescent="0.3"/>
    <row r="425" spans="1:14" s="92" customFormat="1" x14ac:dyDescent="0.3"/>
    <row r="426" spans="1:14" s="92" customFormat="1" x14ac:dyDescent="0.3"/>
    <row r="427" spans="1:14" s="92" customFormat="1" x14ac:dyDescent="0.3"/>
    <row r="428" spans="1:14" s="92" customFormat="1" x14ac:dyDescent="0.3"/>
    <row r="429" spans="1:14" s="92" customFormat="1" x14ac:dyDescent="0.3"/>
    <row r="430" spans="1:14" s="92" customFormat="1" x14ac:dyDescent="0.3">
      <c r="E430" s="85"/>
      <c r="F430" s="85"/>
      <c r="G430" s="85"/>
      <c r="H430" s="85"/>
      <c r="I430" s="85"/>
      <c r="J430" s="85"/>
      <c r="K430" s="85"/>
      <c r="L430" s="85"/>
      <c r="M430" s="85"/>
      <c r="N430" s="85"/>
    </row>
    <row r="431" spans="1:14" x14ac:dyDescent="0.3">
      <c r="A431" s="92"/>
      <c r="B431" s="92"/>
      <c r="C431" s="92"/>
      <c r="D431" s="92"/>
    </row>
    <row r="432" spans="1:14" x14ac:dyDescent="0.3">
      <c r="A432" s="92"/>
      <c r="B432" s="92"/>
      <c r="C432" s="92"/>
      <c r="D432" s="92"/>
    </row>
  </sheetData>
  <mergeCells count="10">
    <mergeCell ref="A8:D8"/>
    <mergeCell ref="A9:D9"/>
    <mergeCell ref="A11:D11"/>
    <mergeCell ref="A15:C15"/>
    <mergeCell ref="A1:D1"/>
    <mergeCell ref="A2:D2"/>
    <mergeCell ref="A3:D3"/>
    <mergeCell ref="A4:D4"/>
    <mergeCell ref="A6:D6"/>
    <mergeCell ref="A7:D7"/>
  </mergeCells>
  <pageMargins left="0.70866141732283472" right="0.98425196850393704" top="0.98425196850393704" bottom="0.74803149606299213" header="0.31496062992125984" footer="0.31496062992125984"/>
  <pageSetup paperSize="9" scale="47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t="15" customHeight="1" x14ac:dyDescent="0.3">
      <c r="A1" s="1"/>
      <c r="B1" s="1"/>
      <c r="C1" s="1"/>
      <c r="D1" s="1"/>
      <c r="E1" s="1"/>
      <c r="F1" s="1"/>
      <c r="G1" s="1"/>
      <c r="H1" s="247" t="s">
        <v>901</v>
      </c>
      <c r="I1" s="247"/>
    </row>
    <row r="2" spans="1:9" ht="18.75" hidden="1" x14ac:dyDescent="0.3">
      <c r="A2" s="1"/>
      <c r="B2" s="1"/>
      <c r="C2" s="1"/>
      <c r="D2" s="1"/>
      <c r="E2" s="2"/>
      <c r="F2" s="1"/>
      <c r="G2" s="1"/>
      <c r="H2" s="247" t="s">
        <v>11</v>
      </c>
      <c r="I2" s="247"/>
    </row>
    <row r="3" spans="1:9" ht="20.25" customHeight="1" x14ac:dyDescent="0.3">
      <c r="A3" s="1"/>
      <c r="B3" s="1"/>
      <c r="C3" s="1"/>
      <c r="D3" s="1"/>
      <c r="E3" s="2"/>
      <c r="F3" s="1"/>
      <c r="G3" s="1"/>
      <c r="H3" s="247" t="s">
        <v>14</v>
      </c>
      <c r="I3" s="247"/>
    </row>
    <row r="4" spans="1:9" ht="18.75" x14ac:dyDescent="0.3">
      <c r="A4" s="1"/>
      <c r="B4" s="1"/>
      <c r="C4" s="1"/>
      <c r="D4" s="1"/>
      <c r="E4" s="2"/>
      <c r="F4" s="1"/>
      <c r="G4" s="1"/>
      <c r="H4" s="247" t="s">
        <v>12</v>
      </c>
      <c r="I4" s="247"/>
    </row>
    <row r="5" spans="1:9" ht="18.75" x14ac:dyDescent="0.3">
      <c r="A5" s="250" t="str">
        <f>'Прил 1 (Доходы)'!A4:C4</f>
        <v>от 28 ноября 2019 г. № 36</v>
      </c>
      <c r="B5" s="250"/>
      <c r="C5" s="250"/>
      <c r="D5" s="250"/>
      <c r="E5" s="250"/>
      <c r="F5" s="250"/>
      <c r="G5" s="250"/>
      <c r="H5" s="250"/>
      <c r="I5" s="250"/>
    </row>
    <row r="6" spans="1:9" ht="18.75" x14ac:dyDescent="0.3">
      <c r="A6" s="1"/>
      <c r="B6" s="1"/>
      <c r="C6" s="1"/>
      <c r="D6" s="1"/>
      <c r="E6" s="1"/>
      <c r="F6" s="1"/>
      <c r="G6" s="1"/>
      <c r="H6" s="3"/>
      <c r="I6" s="3"/>
    </row>
    <row r="7" spans="1:9" ht="18.75" hidden="1" x14ac:dyDescent="0.3">
      <c r="A7" s="1"/>
      <c r="B7" s="1"/>
      <c r="C7" s="1"/>
      <c r="D7" s="1"/>
      <c r="E7" s="1"/>
      <c r="F7" s="1"/>
      <c r="G7" s="1"/>
      <c r="H7" s="3"/>
      <c r="I7" s="3"/>
    </row>
    <row r="8" spans="1:9" ht="18.75" x14ac:dyDescent="0.3">
      <c r="A8" s="2"/>
      <c r="B8" s="2"/>
      <c r="C8" s="2"/>
      <c r="D8" s="2"/>
      <c r="E8" s="2"/>
      <c r="F8" s="2"/>
      <c r="G8" s="2"/>
      <c r="H8" s="247" t="s">
        <v>232</v>
      </c>
      <c r="I8" s="247"/>
    </row>
    <row r="9" spans="1:9" ht="18.75" hidden="1" x14ac:dyDescent="0.3">
      <c r="A9" s="2"/>
      <c r="B9" s="2"/>
      <c r="C9" s="2"/>
      <c r="D9" s="2"/>
      <c r="E9" s="2"/>
      <c r="F9" s="2"/>
      <c r="G9" s="2"/>
      <c r="H9" s="247" t="s">
        <v>11</v>
      </c>
      <c r="I9" s="247"/>
    </row>
    <row r="10" spans="1:9" ht="18.75" x14ac:dyDescent="0.3">
      <c r="A10" s="2"/>
      <c r="B10" s="2"/>
      <c r="C10" s="2"/>
      <c r="D10" s="2"/>
      <c r="E10" s="2"/>
      <c r="F10" s="2"/>
      <c r="G10" s="2"/>
      <c r="H10" s="247" t="s">
        <v>14</v>
      </c>
      <c r="I10" s="247"/>
    </row>
    <row r="11" spans="1:9" ht="18.75" x14ac:dyDescent="0.3">
      <c r="A11" s="2"/>
      <c r="B11" s="2"/>
      <c r="C11" s="2"/>
      <c r="D11" s="2"/>
      <c r="E11" s="2"/>
      <c r="F11" s="2"/>
      <c r="G11" s="2"/>
      <c r="H11" s="247" t="s">
        <v>12</v>
      </c>
      <c r="I11" s="247"/>
    </row>
    <row r="12" spans="1:9" ht="18.75" x14ac:dyDescent="0.3">
      <c r="A12" s="2"/>
      <c r="B12" s="2"/>
      <c r="C12" s="2"/>
      <c r="D12" s="2"/>
      <c r="E12" s="2"/>
      <c r="F12" s="2"/>
      <c r="G12" s="2"/>
      <c r="H12" s="247" t="s">
        <v>13</v>
      </c>
      <c r="I12" s="247"/>
    </row>
    <row r="13" spans="1:9" ht="15.7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5.75" x14ac:dyDescent="0.25">
      <c r="A14" s="248" t="s">
        <v>233</v>
      </c>
      <c r="B14" s="249"/>
      <c r="C14" s="249"/>
      <c r="D14" s="249"/>
      <c r="E14" s="249"/>
      <c r="F14" s="249"/>
      <c r="G14" s="249"/>
      <c r="H14" s="249"/>
      <c r="I14" s="249"/>
    </row>
    <row r="15" spans="1:9" ht="15.75" x14ac:dyDescent="0.25">
      <c r="A15" s="248" t="s">
        <v>234</v>
      </c>
      <c r="B15" s="249"/>
      <c r="C15" s="249"/>
      <c r="D15" s="249"/>
      <c r="E15" s="249"/>
      <c r="F15" s="249"/>
      <c r="G15" s="249"/>
      <c r="H15" s="249"/>
      <c r="I15" s="249"/>
    </row>
    <row r="16" spans="1:9" ht="15.75" x14ac:dyDescent="0.25">
      <c r="A16" s="2"/>
      <c r="B16" s="2"/>
      <c r="C16" s="2"/>
      <c r="D16" s="2"/>
      <c r="E16" s="2"/>
      <c r="F16" s="2"/>
      <c r="G16" s="2"/>
      <c r="H16" s="245"/>
      <c r="I16" s="245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8"/>
    </row>
    <row r="18" spans="1:9" ht="31.5" x14ac:dyDescent="0.25">
      <c r="A18" s="246" t="s">
        <v>235</v>
      </c>
      <c r="B18" s="246"/>
      <c r="C18" s="246"/>
      <c r="D18" s="246"/>
      <c r="E18" s="246"/>
      <c r="F18" s="246"/>
      <c r="G18" s="246"/>
      <c r="H18" s="9" t="s">
        <v>236</v>
      </c>
      <c r="I18" s="10" t="s">
        <v>237</v>
      </c>
    </row>
    <row r="19" spans="1:9" s="4" customFormat="1" ht="15.75" x14ac:dyDescent="0.2">
      <c r="A19" s="246">
        <v>1</v>
      </c>
      <c r="B19" s="246"/>
      <c r="C19" s="246"/>
      <c r="D19" s="246"/>
      <c r="E19" s="246"/>
      <c r="F19" s="246"/>
      <c r="G19" s="246"/>
      <c r="H19" s="9">
        <v>2</v>
      </c>
      <c r="I19" s="10">
        <v>3</v>
      </c>
    </row>
    <row r="20" spans="1:9" ht="31.5" x14ac:dyDescent="0.25">
      <c r="A20" s="11" t="s">
        <v>238</v>
      </c>
      <c r="B20" s="12" t="s">
        <v>239</v>
      </c>
      <c r="C20" s="12" t="s">
        <v>239</v>
      </c>
      <c r="D20" s="12" t="s">
        <v>239</v>
      </c>
      <c r="E20" s="12" t="s">
        <v>239</v>
      </c>
      <c r="F20" s="12" t="s">
        <v>240</v>
      </c>
      <c r="G20" s="13" t="s">
        <v>6</v>
      </c>
      <c r="H20" s="14" t="s">
        <v>241</v>
      </c>
      <c r="I20" s="15">
        <f>SUM(I21,I30)</f>
        <v>61977.805000000051</v>
      </c>
    </row>
    <row r="21" spans="1:9" ht="31.5" x14ac:dyDescent="0.25">
      <c r="A21" s="11" t="s">
        <v>238</v>
      </c>
      <c r="B21" s="12" t="s">
        <v>242</v>
      </c>
      <c r="C21" s="12" t="s">
        <v>239</v>
      </c>
      <c r="D21" s="12" t="s">
        <v>239</v>
      </c>
      <c r="E21" s="12" t="s">
        <v>239</v>
      </c>
      <c r="F21" s="12" t="s">
        <v>240</v>
      </c>
      <c r="G21" s="13" t="s">
        <v>6</v>
      </c>
      <c r="H21" s="14" t="s">
        <v>243</v>
      </c>
      <c r="I21" s="16">
        <f>SUM(I26,I23)</f>
        <v>61977.805000000051</v>
      </c>
    </row>
    <row r="22" spans="1:9" ht="15.75" x14ac:dyDescent="0.25">
      <c r="A22" s="11" t="s">
        <v>238</v>
      </c>
      <c r="B22" s="12" t="s">
        <v>242</v>
      </c>
      <c r="C22" s="12" t="s">
        <v>239</v>
      </c>
      <c r="D22" s="12" t="s">
        <v>239</v>
      </c>
      <c r="E22" s="12" t="s">
        <v>239</v>
      </c>
      <c r="F22" s="12" t="s">
        <v>240</v>
      </c>
      <c r="G22" s="13" t="s">
        <v>47</v>
      </c>
      <c r="H22" s="17" t="s">
        <v>244</v>
      </c>
      <c r="I22" s="16">
        <f>SUM(I23)</f>
        <v>-748420.64399999997</v>
      </c>
    </row>
    <row r="23" spans="1:9" ht="31.5" x14ac:dyDescent="0.25">
      <c r="A23" s="11" t="s">
        <v>238</v>
      </c>
      <c r="B23" s="12" t="s">
        <v>242</v>
      </c>
      <c r="C23" s="12" t="s">
        <v>245</v>
      </c>
      <c r="D23" s="12" t="s">
        <v>239</v>
      </c>
      <c r="E23" s="12" t="s">
        <v>239</v>
      </c>
      <c r="F23" s="12" t="s">
        <v>240</v>
      </c>
      <c r="G23" s="13" t="s">
        <v>47</v>
      </c>
      <c r="H23" s="17" t="s">
        <v>246</v>
      </c>
      <c r="I23" s="16">
        <f>SUM(I24)</f>
        <v>-748420.64399999997</v>
      </c>
    </row>
    <row r="24" spans="1:9" ht="31.5" x14ac:dyDescent="0.25">
      <c r="A24" s="11" t="s">
        <v>238</v>
      </c>
      <c r="B24" s="12" t="s">
        <v>242</v>
      </c>
      <c r="C24" s="12" t="s">
        <v>245</v>
      </c>
      <c r="D24" s="12" t="s">
        <v>238</v>
      </c>
      <c r="E24" s="12" t="s">
        <v>239</v>
      </c>
      <c r="F24" s="12" t="s">
        <v>240</v>
      </c>
      <c r="G24" s="13" t="s">
        <v>247</v>
      </c>
      <c r="H24" s="17" t="s">
        <v>248</v>
      </c>
      <c r="I24" s="16">
        <f>SUM(I25)</f>
        <v>-748420.64399999997</v>
      </c>
    </row>
    <row r="25" spans="1:9" ht="47.25" x14ac:dyDescent="0.25">
      <c r="A25" s="11" t="s">
        <v>238</v>
      </c>
      <c r="B25" s="12" t="s">
        <v>242</v>
      </c>
      <c r="C25" s="12" t="s">
        <v>245</v>
      </c>
      <c r="D25" s="12" t="s">
        <v>238</v>
      </c>
      <c r="E25" s="12" t="s">
        <v>242</v>
      </c>
      <c r="F25" s="12" t="s">
        <v>240</v>
      </c>
      <c r="G25" s="13" t="s">
        <v>247</v>
      </c>
      <c r="H25" s="17" t="s">
        <v>249</v>
      </c>
      <c r="I25" s="18">
        <f>-1000-747420.644</f>
        <v>-748420.64399999997</v>
      </c>
    </row>
    <row r="26" spans="1:9" ht="15.75" x14ac:dyDescent="0.25">
      <c r="A26" s="11" t="s">
        <v>238</v>
      </c>
      <c r="B26" s="12" t="s">
        <v>242</v>
      </c>
      <c r="C26" s="12" t="s">
        <v>239</v>
      </c>
      <c r="D26" s="12" t="s">
        <v>239</v>
      </c>
      <c r="E26" s="12" t="s">
        <v>239</v>
      </c>
      <c r="F26" s="12" t="s">
        <v>240</v>
      </c>
      <c r="G26" s="13" t="s">
        <v>106</v>
      </c>
      <c r="H26" s="17" t="s">
        <v>250</v>
      </c>
      <c r="I26" s="16">
        <f>SUM(I27)</f>
        <v>810398.44900000002</v>
      </c>
    </row>
    <row r="27" spans="1:9" ht="31.5" x14ac:dyDescent="0.25">
      <c r="A27" s="11" t="s">
        <v>238</v>
      </c>
      <c r="B27" s="12" t="s">
        <v>242</v>
      </c>
      <c r="C27" s="12" t="s">
        <v>245</v>
      </c>
      <c r="D27" s="12" t="s">
        <v>239</v>
      </c>
      <c r="E27" s="12" t="s">
        <v>239</v>
      </c>
      <c r="F27" s="12" t="s">
        <v>240</v>
      </c>
      <c r="G27" s="13" t="s">
        <v>106</v>
      </c>
      <c r="H27" s="17" t="s">
        <v>251</v>
      </c>
      <c r="I27" s="16">
        <f>SUM(I28)</f>
        <v>810398.44900000002</v>
      </c>
    </row>
    <row r="28" spans="1:9" ht="31.5" x14ac:dyDescent="0.25">
      <c r="A28" s="11" t="s">
        <v>238</v>
      </c>
      <c r="B28" s="12" t="s">
        <v>242</v>
      </c>
      <c r="C28" s="12" t="s">
        <v>245</v>
      </c>
      <c r="D28" s="12" t="s">
        <v>238</v>
      </c>
      <c r="E28" s="12" t="s">
        <v>239</v>
      </c>
      <c r="F28" s="12" t="s">
        <v>240</v>
      </c>
      <c r="G28" s="13" t="s">
        <v>252</v>
      </c>
      <c r="H28" s="17" t="s">
        <v>253</v>
      </c>
      <c r="I28" s="16">
        <f>SUM(I29)</f>
        <v>810398.44900000002</v>
      </c>
    </row>
    <row r="29" spans="1:9" ht="47.25" x14ac:dyDescent="0.25">
      <c r="A29" s="11" t="s">
        <v>238</v>
      </c>
      <c r="B29" s="12" t="s">
        <v>242</v>
      </c>
      <c r="C29" s="12" t="s">
        <v>245</v>
      </c>
      <c r="D29" s="12" t="s">
        <v>238</v>
      </c>
      <c r="E29" s="12" t="s">
        <v>242</v>
      </c>
      <c r="F29" s="12" t="s">
        <v>240</v>
      </c>
      <c r="G29" s="13" t="s">
        <v>252</v>
      </c>
      <c r="H29" s="17" t="s">
        <v>254</v>
      </c>
      <c r="I29" s="16">
        <f>1000+809398.449</f>
        <v>810398.44900000002</v>
      </c>
    </row>
    <row r="30" spans="1:9" ht="56.25" hidden="1" x14ac:dyDescent="0.25">
      <c r="A30" s="19" t="s">
        <v>238</v>
      </c>
      <c r="B30" s="19" t="s">
        <v>255</v>
      </c>
      <c r="C30" s="19" t="s">
        <v>239</v>
      </c>
      <c r="D30" s="19" t="s">
        <v>239</v>
      </c>
      <c r="E30" s="19" t="s">
        <v>239</v>
      </c>
      <c r="F30" s="19" t="s">
        <v>240</v>
      </c>
      <c r="G30" s="19" t="s">
        <v>6</v>
      </c>
      <c r="H30" s="20" t="s">
        <v>256</v>
      </c>
      <c r="I30" s="21">
        <f>SUM(I31,I34)</f>
        <v>0</v>
      </c>
    </row>
    <row r="31" spans="1:9" ht="56.25" hidden="1" x14ac:dyDescent="0.25">
      <c r="A31" s="19" t="s">
        <v>238</v>
      </c>
      <c r="B31" s="19" t="s">
        <v>255</v>
      </c>
      <c r="C31" s="19" t="s">
        <v>257</v>
      </c>
      <c r="D31" s="19" t="s">
        <v>239</v>
      </c>
      <c r="E31" s="19" t="s">
        <v>239</v>
      </c>
      <c r="F31" s="19" t="s">
        <v>240</v>
      </c>
      <c r="G31" s="19" t="s">
        <v>6</v>
      </c>
      <c r="H31" s="22" t="s">
        <v>258</v>
      </c>
      <c r="I31" s="21">
        <f>SUM(I32)</f>
        <v>0</v>
      </c>
    </row>
    <row r="32" spans="1:9" ht="206.25" hidden="1" x14ac:dyDescent="0.25">
      <c r="A32" s="19" t="s">
        <v>238</v>
      </c>
      <c r="B32" s="19" t="s">
        <v>255</v>
      </c>
      <c r="C32" s="19" t="s">
        <v>257</v>
      </c>
      <c r="D32" s="19" t="s">
        <v>239</v>
      </c>
      <c r="E32" s="19" t="s">
        <v>239</v>
      </c>
      <c r="F32" s="19" t="s">
        <v>240</v>
      </c>
      <c r="G32" s="19" t="s">
        <v>44</v>
      </c>
      <c r="H32" s="22" t="s">
        <v>259</v>
      </c>
      <c r="I32" s="21">
        <f>SUM(I33)</f>
        <v>0</v>
      </c>
    </row>
    <row r="33" spans="1:9" ht="187.5" hidden="1" x14ac:dyDescent="0.25">
      <c r="A33" s="19" t="s">
        <v>238</v>
      </c>
      <c r="B33" s="19" t="s">
        <v>255</v>
      </c>
      <c r="C33" s="19" t="s">
        <v>257</v>
      </c>
      <c r="D33" s="19" t="s">
        <v>239</v>
      </c>
      <c r="E33" s="19" t="s">
        <v>242</v>
      </c>
      <c r="F33" s="19" t="s">
        <v>240</v>
      </c>
      <c r="G33" s="19" t="s">
        <v>260</v>
      </c>
      <c r="H33" s="22" t="s">
        <v>261</v>
      </c>
      <c r="I33" s="21">
        <v>0</v>
      </c>
    </row>
    <row r="34" spans="1:9" ht="56.25" hidden="1" x14ac:dyDescent="0.25">
      <c r="A34" s="19" t="s">
        <v>238</v>
      </c>
      <c r="B34" s="19" t="s">
        <v>255</v>
      </c>
      <c r="C34" s="19" t="s">
        <v>242</v>
      </c>
      <c r="D34" s="19" t="s">
        <v>239</v>
      </c>
      <c r="E34" s="19" t="s">
        <v>239</v>
      </c>
      <c r="F34" s="19" t="s">
        <v>240</v>
      </c>
      <c r="G34" s="19" t="s">
        <v>6</v>
      </c>
      <c r="H34" s="22" t="s">
        <v>262</v>
      </c>
      <c r="I34" s="21">
        <f>SUM(I35)</f>
        <v>0</v>
      </c>
    </row>
    <row r="35" spans="1:9" ht="56.25" hidden="1" x14ac:dyDescent="0.25">
      <c r="A35" s="19" t="s">
        <v>238</v>
      </c>
      <c r="B35" s="19" t="s">
        <v>255</v>
      </c>
      <c r="C35" s="19" t="s">
        <v>242</v>
      </c>
      <c r="D35" s="19" t="s">
        <v>239</v>
      </c>
      <c r="E35" s="19" t="s">
        <v>239</v>
      </c>
      <c r="F35" s="19" t="s">
        <v>240</v>
      </c>
      <c r="G35" s="19" t="s">
        <v>106</v>
      </c>
      <c r="H35" s="22" t="s">
        <v>263</v>
      </c>
      <c r="I35" s="21">
        <f>SUM(I36)</f>
        <v>0</v>
      </c>
    </row>
    <row r="36" spans="1:9" ht="93.75" hidden="1" x14ac:dyDescent="0.25">
      <c r="A36" s="19" t="s">
        <v>238</v>
      </c>
      <c r="B36" s="19" t="s">
        <v>255</v>
      </c>
      <c r="C36" s="19" t="s">
        <v>242</v>
      </c>
      <c r="D36" s="19" t="s">
        <v>238</v>
      </c>
      <c r="E36" s="19" t="s">
        <v>242</v>
      </c>
      <c r="F36" s="19" t="s">
        <v>240</v>
      </c>
      <c r="G36" s="19" t="s">
        <v>264</v>
      </c>
      <c r="H36" s="22" t="s">
        <v>265</v>
      </c>
      <c r="I36" s="23"/>
    </row>
    <row r="37" spans="1:9" ht="18" x14ac:dyDescent="0.25">
      <c r="A37" s="24"/>
      <c r="B37" s="24"/>
      <c r="C37" s="24"/>
      <c r="D37" s="24"/>
      <c r="E37" s="24"/>
      <c r="F37" s="24"/>
      <c r="G37" s="24"/>
      <c r="H37" s="25"/>
      <c r="I37" s="26"/>
    </row>
    <row r="38" spans="1:9" x14ac:dyDescent="0.25">
      <c r="A38" s="27"/>
      <c r="B38" s="27"/>
      <c r="C38" s="27"/>
      <c r="D38" s="27"/>
      <c r="E38" s="27"/>
      <c r="F38" s="27"/>
      <c r="G38" s="27"/>
      <c r="H38" s="28"/>
      <c r="I38" s="29"/>
    </row>
  </sheetData>
  <mergeCells count="15">
    <mergeCell ref="H8:I8"/>
    <mergeCell ref="H1:I1"/>
    <mergeCell ref="H2:I2"/>
    <mergeCell ref="H3:I3"/>
    <mergeCell ref="H4:I4"/>
    <mergeCell ref="A5:I5"/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52"/>
  <sheetViews>
    <sheetView view="pageBreakPreview" zoomScaleNormal="100" zoomScaleSheetLayoutView="100" workbookViewId="0">
      <selection activeCell="A5" sqref="A5"/>
    </sheetView>
  </sheetViews>
  <sheetFormatPr defaultRowHeight="15.75" x14ac:dyDescent="0.25"/>
  <cols>
    <col min="1" max="1" width="67.7109375" style="55" customWidth="1"/>
    <col min="2" max="2" width="15.28515625" style="30" customWidth="1"/>
    <col min="3" max="4" width="19.42578125" style="30" hidden="1" customWidth="1"/>
    <col min="5" max="5" width="16" style="30" customWidth="1"/>
    <col min="6" max="254" width="9.140625" style="30"/>
    <col min="255" max="255" width="38.42578125" style="30" customWidth="1"/>
    <col min="256" max="256" width="14.140625" style="30" customWidth="1"/>
    <col min="257" max="258" width="0" style="30" hidden="1" customWidth="1"/>
    <col min="259" max="259" width="13.140625" style="30" customWidth="1"/>
    <col min="260" max="260" width="24.28515625" style="30" customWidth="1"/>
    <col min="261" max="261" width="16" style="30" customWidth="1"/>
    <col min="262" max="510" width="9.140625" style="30"/>
    <col min="511" max="511" width="38.42578125" style="30" customWidth="1"/>
    <col min="512" max="512" width="14.140625" style="30" customWidth="1"/>
    <col min="513" max="514" width="0" style="30" hidden="1" customWidth="1"/>
    <col min="515" max="515" width="13.140625" style="30" customWidth="1"/>
    <col min="516" max="516" width="24.28515625" style="30" customWidth="1"/>
    <col min="517" max="517" width="16" style="30" customWidth="1"/>
    <col min="518" max="766" width="9.140625" style="30"/>
    <col min="767" max="767" width="38.42578125" style="30" customWidth="1"/>
    <col min="768" max="768" width="14.140625" style="30" customWidth="1"/>
    <col min="769" max="770" width="0" style="30" hidden="1" customWidth="1"/>
    <col min="771" max="771" width="13.140625" style="30" customWidth="1"/>
    <col min="772" max="772" width="24.28515625" style="30" customWidth="1"/>
    <col min="773" max="773" width="16" style="30" customWidth="1"/>
    <col min="774" max="1022" width="9.140625" style="30"/>
    <col min="1023" max="1023" width="38.42578125" style="30" customWidth="1"/>
    <col min="1024" max="1024" width="14.140625" style="30" customWidth="1"/>
    <col min="1025" max="1026" width="0" style="30" hidden="1" customWidth="1"/>
    <col min="1027" max="1027" width="13.140625" style="30" customWidth="1"/>
    <col min="1028" max="1028" width="24.28515625" style="30" customWidth="1"/>
    <col min="1029" max="1029" width="16" style="30" customWidth="1"/>
    <col min="1030" max="1278" width="9.140625" style="30"/>
    <col min="1279" max="1279" width="38.42578125" style="30" customWidth="1"/>
    <col min="1280" max="1280" width="14.140625" style="30" customWidth="1"/>
    <col min="1281" max="1282" width="0" style="30" hidden="1" customWidth="1"/>
    <col min="1283" max="1283" width="13.140625" style="30" customWidth="1"/>
    <col min="1284" max="1284" width="24.28515625" style="30" customWidth="1"/>
    <col min="1285" max="1285" width="16" style="30" customWidth="1"/>
    <col min="1286" max="1534" width="9.140625" style="30"/>
    <col min="1535" max="1535" width="38.42578125" style="30" customWidth="1"/>
    <col min="1536" max="1536" width="14.140625" style="30" customWidth="1"/>
    <col min="1537" max="1538" width="0" style="30" hidden="1" customWidth="1"/>
    <col min="1539" max="1539" width="13.140625" style="30" customWidth="1"/>
    <col min="1540" max="1540" width="24.28515625" style="30" customWidth="1"/>
    <col min="1541" max="1541" width="16" style="30" customWidth="1"/>
    <col min="1542" max="1790" width="9.140625" style="30"/>
    <col min="1791" max="1791" width="38.42578125" style="30" customWidth="1"/>
    <col min="1792" max="1792" width="14.140625" style="30" customWidth="1"/>
    <col min="1793" max="1794" width="0" style="30" hidden="1" customWidth="1"/>
    <col min="1795" max="1795" width="13.140625" style="30" customWidth="1"/>
    <col min="1796" max="1796" width="24.28515625" style="30" customWidth="1"/>
    <col min="1797" max="1797" width="16" style="30" customWidth="1"/>
    <col min="1798" max="2046" width="9.140625" style="30"/>
    <col min="2047" max="2047" width="38.42578125" style="30" customWidth="1"/>
    <col min="2048" max="2048" width="14.140625" style="30" customWidth="1"/>
    <col min="2049" max="2050" width="0" style="30" hidden="1" customWidth="1"/>
    <col min="2051" max="2051" width="13.140625" style="30" customWidth="1"/>
    <col min="2052" max="2052" width="24.28515625" style="30" customWidth="1"/>
    <col min="2053" max="2053" width="16" style="30" customWidth="1"/>
    <col min="2054" max="2302" width="9.140625" style="30"/>
    <col min="2303" max="2303" width="38.42578125" style="30" customWidth="1"/>
    <col min="2304" max="2304" width="14.140625" style="30" customWidth="1"/>
    <col min="2305" max="2306" width="0" style="30" hidden="1" customWidth="1"/>
    <col min="2307" max="2307" width="13.140625" style="30" customWidth="1"/>
    <col min="2308" max="2308" width="24.28515625" style="30" customWidth="1"/>
    <col min="2309" max="2309" width="16" style="30" customWidth="1"/>
    <col min="2310" max="2558" width="9.140625" style="30"/>
    <col min="2559" max="2559" width="38.42578125" style="30" customWidth="1"/>
    <col min="2560" max="2560" width="14.140625" style="30" customWidth="1"/>
    <col min="2561" max="2562" width="0" style="30" hidden="1" customWidth="1"/>
    <col min="2563" max="2563" width="13.140625" style="30" customWidth="1"/>
    <col min="2564" max="2564" width="24.28515625" style="30" customWidth="1"/>
    <col min="2565" max="2565" width="16" style="30" customWidth="1"/>
    <col min="2566" max="2814" width="9.140625" style="30"/>
    <col min="2815" max="2815" width="38.42578125" style="30" customWidth="1"/>
    <col min="2816" max="2816" width="14.140625" style="30" customWidth="1"/>
    <col min="2817" max="2818" width="0" style="30" hidden="1" customWidth="1"/>
    <col min="2819" max="2819" width="13.140625" style="30" customWidth="1"/>
    <col min="2820" max="2820" width="24.28515625" style="30" customWidth="1"/>
    <col min="2821" max="2821" width="16" style="30" customWidth="1"/>
    <col min="2822" max="3070" width="9.140625" style="30"/>
    <col min="3071" max="3071" width="38.42578125" style="30" customWidth="1"/>
    <col min="3072" max="3072" width="14.140625" style="30" customWidth="1"/>
    <col min="3073" max="3074" width="0" style="30" hidden="1" customWidth="1"/>
    <col min="3075" max="3075" width="13.140625" style="30" customWidth="1"/>
    <col min="3076" max="3076" width="24.28515625" style="30" customWidth="1"/>
    <col min="3077" max="3077" width="16" style="30" customWidth="1"/>
    <col min="3078" max="3326" width="9.140625" style="30"/>
    <col min="3327" max="3327" width="38.42578125" style="30" customWidth="1"/>
    <col min="3328" max="3328" width="14.140625" style="30" customWidth="1"/>
    <col min="3329" max="3330" width="0" style="30" hidden="1" customWidth="1"/>
    <col min="3331" max="3331" width="13.140625" style="30" customWidth="1"/>
    <col min="3332" max="3332" width="24.28515625" style="30" customWidth="1"/>
    <col min="3333" max="3333" width="16" style="30" customWidth="1"/>
    <col min="3334" max="3582" width="9.140625" style="30"/>
    <col min="3583" max="3583" width="38.42578125" style="30" customWidth="1"/>
    <col min="3584" max="3584" width="14.140625" style="30" customWidth="1"/>
    <col min="3585" max="3586" width="0" style="30" hidden="1" customWidth="1"/>
    <col min="3587" max="3587" width="13.140625" style="30" customWidth="1"/>
    <col min="3588" max="3588" width="24.28515625" style="30" customWidth="1"/>
    <col min="3589" max="3589" width="16" style="30" customWidth="1"/>
    <col min="3590" max="3838" width="9.140625" style="30"/>
    <col min="3839" max="3839" width="38.42578125" style="30" customWidth="1"/>
    <col min="3840" max="3840" width="14.140625" style="30" customWidth="1"/>
    <col min="3841" max="3842" width="0" style="30" hidden="1" customWidth="1"/>
    <col min="3843" max="3843" width="13.140625" style="30" customWidth="1"/>
    <col min="3844" max="3844" width="24.28515625" style="30" customWidth="1"/>
    <col min="3845" max="3845" width="16" style="30" customWidth="1"/>
    <col min="3846" max="4094" width="9.140625" style="30"/>
    <col min="4095" max="4095" width="38.42578125" style="30" customWidth="1"/>
    <col min="4096" max="4096" width="14.140625" style="30" customWidth="1"/>
    <col min="4097" max="4098" width="0" style="30" hidden="1" customWidth="1"/>
    <col min="4099" max="4099" width="13.140625" style="30" customWidth="1"/>
    <col min="4100" max="4100" width="24.28515625" style="30" customWidth="1"/>
    <col min="4101" max="4101" width="16" style="30" customWidth="1"/>
    <col min="4102" max="4350" width="9.140625" style="30"/>
    <col min="4351" max="4351" width="38.42578125" style="30" customWidth="1"/>
    <col min="4352" max="4352" width="14.140625" style="30" customWidth="1"/>
    <col min="4353" max="4354" width="0" style="30" hidden="1" customWidth="1"/>
    <col min="4355" max="4355" width="13.140625" style="30" customWidth="1"/>
    <col min="4356" max="4356" width="24.28515625" style="30" customWidth="1"/>
    <col min="4357" max="4357" width="16" style="30" customWidth="1"/>
    <col min="4358" max="4606" width="9.140625" style="30"/>
    <col min="4607" max="4607" width="38.42578125" style="30" customWidth="1"/>
    <col min="4608" max="4608" width="14.140625" style="30" customWidth="1"/>
    <col min="4609" max="4610" width="0" style="30" hidden="1" customWidth="1"/>
    <col min="4611" max="4611" width="13.140625" style="30" customWidth="1"/>
    <col min="4612" max="4612" width="24.28515625" style="30" customWidth="1"/>
    <col min="4613" max="4613" width="16" style="30" customWidth="1"/>
    <col min="4614" max="4862" width="9.140625" style="30"/>
    <col min="4863" max="4863" width="38.42578125" style="30" customWidth="1"/>
    <col min="4864" max="4864" width="14.140625" style="30" customWidth="1"/>
    <col min="4865" max="4866" width="0" style="30" hidden="1" customWidth="1"/>
    <col min="4867" max="4867" width="13.140625" style="30" customWidth="1"/>
    <col min="4868" max="4868" width="24.28515625" style="30" customWidth="1"/>
    <col min="4869" max="4869" width="16" style="30" customWidth="1"/>
    <col min="4870" max="5118" width="9.140625" style="30"/>
    <col min="5119" max="5119" width="38.42578125" style="30" customWidth="1"/>
    <col min="5120" max="5120" width="14.140625" style="30" customWidth="1"/>
    <col min="5121" max="5122" width="0" style="30" hidden="1" customWidth="1"/>
    <col min="5123" max="5123" width="13.140625" style="30" customWidth="1"/>
    <col min="5124" max="5124" width="24.28515625" style="30" customWidth="1"/>
    <col min="5125" max="5125" width="16" style="30" customWidth="1"/>
    <col min="5126" max="5374" width="9.140625" style="30"/>
    <col min="5375" max="5375" width="38.42578125" style="30" customWidth="1"/>
    <col min="5376" max="5376" width="14.140625" style="30" customWidth="1"/>
    <col min="5377" max="5378" width="0" style="30" hidden="1" customWidth="1"/>
    <col min="5379" max="5379" width="13.140625" style="30" customWidth="1"/>
    <col min="5380" max="5380" width="24.28515625" style="30" customWidth="1"/>
    <col min="5381" max="5381" width="16" style="30" customWidth="1"/>
    <col min="5382" max="5630" width="9.140625" style="30"/>
    <col min="5631" max="5631" width="38.42578125" style="30" customWidth="1"/>
    <col min="5632" max="5632" width="14.140625" style="30" customWidth="1"/>
    <col min="5633" max="5634" width="0" style="30" hidden="1" customWidth="1"/>
    <col min="5635" max="5635" width="13.140625" style="30" customWidth="1"/>
    <col min="5636" max="5636" width="24.28515625" style="30" customWidth="1"/>
    <col min="5637" max="5637" width="16" style="30" customWidth="1"/>
    <col min="5638" max="5886" width="9.140625" style="30"/>
    <col min="5887" max="5887" width="38.42578125" style="30" customWidth="1"/>
    <col min="5888" max="5888" width="14.140625" style="30" customWidth="1"/>
    <col min="5889" max="5890" width="0" style="30" hidden="1" customWidth="1"/>
    <col min="5891" max="5891" width="13.140625" style="30" customWidth="1"/>
    <col min="5892" max="5892" width="24.28515625" style="30" customWidth="1"/>
    <col min="5893" max="5893" width="16" style="30" customWidth="1"/>
    <col min="5894" max="6142" width="9.140625" style="30"/>
    <col min="6143" max="6143" width="38.42578125" style="30" customWidth="1"/>
    <col min="6144" max="6144" width="14.140625" style="30" customWidth="1"/>
    <col min="6145" max="6146" width="0" style="30" hidden="1" customWidth="1"/>
    <col min="6147" max="6147" width="13.140625" style="30" customWidth="1"/>
    <col min="6148" max="6148" width="24.28515625" style="30" customWidth="1"/>
    <col min="6149" max="6149" width="16" style="30" customWidth="1"/>
    <col min="6150" max="6398" width="9.140625" style="30"/>
    <col min="6399" max="6399" width="38.42578125" style="30" customWidth="1"/>
    <col min="6400" max="6400" width="14.140625" style="30" customWidth="1"/>
    <col min="6401" max="6402" width="0" style="30" hidden="1" customWidth="1"/>
    <col min="6403" max="6403" width="13.140625" style="30" customWidth="1"/>
    <col min="6404" max="6404" width="24.28515625" style="30" customWidth="1"/>
    <col min="6405" max="6405" width="16" style="30" customWidth="1"/>
    <col min="6406" max="6654" width="9.140625" style="30"/>
    <col min="6655" max="6655" width="38.42578125" style="30" customWidth="1"/>
    <col min="6656" max="6656" width="14.140625" style="30" customWidth="1"/>
    <col min="6657" max="6658" width="0" style="30" hidden="1" customWidth="1"/>
    <col min="6659" max="6659" width="13.140625" style="30" customWidth="1"/>
    <col min="6660" max="6660" width="24.28515625" style="30" customWidth="1"/>
    <col min="6661" max="6661" width="16" style="30" customWidth="1"/>
    <col min="6662" max="6910" width="9.140625" style="30"/>
    <col min="6911" max="6911" width="38.42578125" style="30" customWidth="1"/>
    <col min="6912" max="6912" width="14.140625" style="30" customWidth="1"/>
    <col min="6913" max="6914" width="0" style="30" hidden="1" customWidth="1"/>
    <col min="6915" max="6915" width="13.140625" style="30" customWidth="1"/>
    <col min="6916" max="6916" width="24.28515625" style="30" customWidth="1"/>
    <col min="6917" max="6917" width="16" style="30" customWidth="1"/>
    <col min="6918" max="7166" width="9.140625" style="30"/>
    <col min="7167" max="7167" width="38.42578125" style="30" customWidth="1"/>
    <col min="7168" max="7168" width="14.140625" style="30" customWidth="1"/>
    <col min="7169" max="7170" width="0" style="30" hidden="1" customWidth="1"/>
    <col min="7171" max="7171" width="13.140625" style="30" customWidth="1"/>
    <col min="7172" max="7172" width="24.28515625" style="30" customWidth="1"/>
    <col min="7173" max="7173" width="16" style="30" customWidth="1"/>
    <col min="7174" max="7422" width="9.140625" style="30"/>
    <col min="7423" max="7423" width="38.42578125" style="30" customWidth="1"/>
    <col min="7424" max="7424" width="14.140625" style="30" customWidth="1"/>
    <col min="7425" max="7426" width="0" style="30" hidden="1" customWidth="1"/>
    <col min="7427" max="7427" width="13.140625" style="30" customWidth="1"/>
    <col min="7428" max="7428" width="24.28515625" style="30" customWidth="1"/>
    <col min="7429" max="7429" width="16" style="30" customWidth="1"/>
    <col min="7430" max="7678" width="9.140625" style="30"/>
    <col min="7679" max="7679" width="38.42578125" style="30" customWidth="1"/>
    <col min="7680" max="7680" width="14.140625" style="30" customWidth="1"/>
    <col min="7681" max="7682" width="0" style="30" hidden="1" customWidth="1"/>
    <col min="7683" max="7683" width="13.140625" style="30" customWidth="1"/>
    <col min="7684" max="7684" width="24.28515625" style="30" customWidth="1"/>
    <col min="7685" max="7685" width="16" style="30" customWidth="1"/>
    <col min="7686" max="7934" width="9.140625" style="30"/>
    <col min="7935" max="7935" width="38.42578125" style="30" customWidth="1"/>
    <col min="7936" max="7936" width="14.140625" style="30" customWidth="1"/>
    <col min="7937" max="7938" width="0" style="30" hidden="1" customWidth="1"/>
    <col min="7939" max="7939" width="13.140625" style="30" customWidth="1"/>
    <col min="7940" max="7940" width="24.28515625" style="30" customWidth="1"/>
    <col min="7941" max="7941" width="16" style="30" customWidth="1"/>
    <col min="7942" max="8190" width="9.140625" style="30"/>
    <col min="8191" max="8191" width="38.42578125" style="30" customWidth="1"/>
    <col min="8192" max="8192" width="14.140625" style="30" customWidth="1"/>
    <col min="8193" max="8194" width="0" style="30" hidden="1" customWidth="1"/>
    <col min="8195" max="8195" width="13.140625" style="30" customWidth="1"/>
    <col min="8196" max="8196" width="24.28515625" style="30" customWidth="1"/>
    <col min="8197" max="8197" width="16" style="30" customWidth="1"/>
    <col min="8198" max="8446" width="9.140625" style="30"/>
    <col min="8447" max="8447" width="38.42578125" style="30" customWidth="1"/>
    <col min="8448" max="8448" width="14.140625" style="30" customWidth="1"/>
    <col min="8449" max="8450" width="0" style="30" hidden="1" customWidth="1"/>
    <col min="8451" max="8451" width="13.140625" style="30" customWidth="1"/>
    <col min="8452" max="8452" width="24.28515625" style="30" customWidth="1"/>
    <col min="8453" max="8453" width="16" style="30" customWidth="1"/>
    <col min="8454" max="8702" width="9.140625" style="30"/>
    <col min="8703" max="8703" width="38.42578125" style="30" customWidth="1"/>
    <col min="8704" max="8704" width="14.140625" style="30" customWidth="1"/>
    <col min="8705" max="8706" width="0" style="30" hidden="1" customWidth="1"/>
    <col min="8707" max="8707" width="13.140625" style="30" customWidth="1"/>
    <col min="8708" max="8708" width="24.28515625" style="30" customWidth="1"/>
    <col min="8709" max="8709" width="16" style="30" customWidth="1"/>
    <col min="8710" max="8958" width="9.140625" style="30"/>
    <col min="8959" max="8959" width="38.42578125" style="30" customWidth="1"/>
    <col min="8960" max="8960" width="14.140625" style="30" customWidth="1"/>
    <col min="8961" max="8962" width="0" style="30" hidden="1" customWidth="1"/>
    <col min="8963" max="8963" width="13.140625" style="30" customWidth="1"/>
    <col min="8964" max="8964" width="24.28515625" style="30" customWidth="1"/>
    <col min="8965" max="8965" width="16" style="30" customWidth="1"/>
    <col min="8966" max="9214" width="9.140625" style="30"/>
    <col min="9215" max="9215" width="38.42578125" style="30" customWidth="1"/>
    <col min="9216" max="9216" width="14.140625" style="30" customWidth="1"/>
    <col min="9217" max="9218" width="0" style="30" hidden="1" customWidth="1"/>
    <col min="9219" max="9219" width="13.140625" style="30" customWidth="1"/>
    <col min="9220" max="9220" width="24.28515625" style="30" customWidth="1"/>
    <col min="9221" max="9221" width="16" style="30" customWidth="1"/>
    <col min="9222" max="9470" width="9.140625" style="30"/>
    <col min="9471" max="9471" width="38.42578125" style="30" customWidth="1"/>
    <col min="9472" max="9472" width="14.140625" style="30" customWidth="1"/>
    <col min="9473" max="9474" width="0" style="30" hidden="1" customWidth="1"/>
    <col min="9475" max="9475" width="13.140625" style="30" customWidth="1"/>
    <col min="9476" max="9476" width="24.28515625" style="30" customWidth="1"/>
    <col min="9477" max="9477" width="16" style="30" customWidth="1"/>
    <col min="9478" max="9726" width="9.140625" style="30"/>
    <col min="9727" max="9727" width="38.42578125" style="30" customWidth="1"/>
    <col min="9728" max="9728" width="14.140625" style="30" customWidth="1"/>
    <col min="9729" max="9730" width="0" style="30" hidden="1" customWidth="1"/>
    <col min="9731" max="9731" width="13.140625" style="30" customWidth="1"/>
    <col min="9732" max="9732" width="24.28515625" style="30" customWidth="1"/>
    <col min="9733" max="9733" width="16" style="30" customWidth="1"/>
    <col min="9734" max="9982" width="9.140625" style="30"/>
    <col min="9983" max="9983" width="38.42578125" style="30" customWidth="1"/>
    <col min="9984" max="9984" width="14.140625" style="30" customWidth="1"/>
    <col min="9985" max="9986" width="0" style="30" hidden="1" customWidth="1"/>
    <col min="9987" max="9987" width="13.140625" style="30" customWidth="1"/>
    <col min="9988" max="9988" width="24.28515625" style="30" customWidth="1"/>
    <col min="9989" max="9989" width="16" style="30" customWidth="1"/>
    <col min="9990" max="10238" width="9.140625" style="30"/>
    <col min="10239" max="10239" width="38.42578125" style="30" customWidth="1"/>
    <col min="10240" max="10240" width="14.140625" style="30" customWidth="1"/>
    <col min="10241" max="10242" width="0" style="30" hidden="1" customWidth="1"/>
    <col min="10243" max="10243" width="13.140625" style="30" customWidth="1"/>
    <col min="10244" max="10244" width="24.28515625" style="30" customWidth="1"/>
    <col min="10245" max="10245" width="16" style="30" customWidth="1"/>
    <col min="10246" max="10494" width="9.140625" style="30"/>
    <col min="10495" max="10495" width="38.42578125" style="30" customWidth="1"/>
    <col min="10496" max="10496" width="14.140625" style="30" customWidth="1"/>
    <col min="10497" max="10498" width="0" style="30" hidden="1" customWidth="1"/>
    <col min="10499" max="10499" width="13.140625" style="30" customWidth="1"/>
    <col min="10500" max="10500" width="24.28515625" style="30" customWidth="1"/>
    <col min="10501" max="10501" width="16" style="30" customWidth="1"/>
    <col min="10502" max="10750" width="9.140625" style="30"/>
    <col min="10751" max="10751" width="38.42578125" style="30" customWidth="1"/>
    <col min="10752" max="10752" width="14.140625" style="30" customWidth="1"/>
    <col min="10753" max="10754" width="0" style="30" hidden="1" customWidth="1"/>
    <col min="10755" max="10755" width="13.140625" style="30" customWidth="1"/>
    <col min="10756" max="10756" width="24.28515625" style="30" customWidth="1"/>
    <col min="10757" max="10757" width="16" style="30" customWidth="1"/>
    <col min="10758" max="11006" width="9.140625" style="30"/>
    <col min="11007" max="11007" width="38.42578125" style="30" customWidth="1"/>
    <col min="11008" max="11008" width="14.140625" style="30" customWidth="1"/>
    <col min="11009" max="11010" width="0" style="30" hidden="1" customWidth="1"/>
    <col min="11011" max="11011" width="13.140625" style="30" customWidth="1"/>
    <col min="11012" max="11012" width="24.28515625" style="30" customWidth="1"/>
    <col min="11013" max="11013" width="16" style="30" customWidth="1"/>
    <col min="11014" max="11262" width="9.140625" style="30"/>
    <col min="11263" max="11263" width="38.42578125" style="30" customWidth="1"/>
    <col min="11264" max="11264" width="14.140625" style="30" customWidth="1"/>
    <col min="11265" max="11266" width="0" style="30" hidden="1" customWidth="1"/>
    <col min="11267" max="11267" width="13.140625" style="30" customWidth="1"/>
    <col min="11268" max="11268" width="24.28515625" style="30" customWidth="1"/>
    <col min="11269" max="11269" width="16" style="30" customWidth="1"/>
    <col min="11270" max="11518" width="9.140625" style="30"/>
    <col min="11519" max="11519" width="38.42578125" style="30" customWidth="1"/>
    <col min="11520" max="11520" width="14.140625" style="30" customWidth="1"/>
    <col min="11521" max="11522" width="0" style="30" hidden="1" customWidth="1"/>
    <col min="11523" max="11523" width="13.140625" style="30" customWidth="1"/>
    <col min="11524" max="11524" width="24.28515625" style="30" customWidth="1"/>
    <col min="11525" max="11525" width="16" style="30" customWidth="1"/>
    <col min="11526" max="11774" width="9.140625" style="30"/>
    <col min="11775" max="11775" width="38.42578125" style="30" customWidth="1"/>
    <col min="11776" max="11776" width="14.140625" style="30" customWidth="1"/>
    <col min="11777" max="11778" width="0" style="30" hidden="1" customWidth="1"/>
    <col min="11779" max="11779" width="13.140625" style="30" customWidth="1"/>
    <col min="11780" max="11780" width="24.28515625" style="30" customWidth="1"/>
    <col min="11781" max="11781" width="16" style="30" customWidth="1"/>
    <col min="11782" max="12030" width="9.140625" style="30"/>
    <col min="12031" max="12031" width="38.42578125" style="30" customWidth="1"/>
    <col min="12032" max="12032" width="14.140625" style="30" customWidth="1"/>
    <col min="12033" max="12034" width="0" style="30" hidden="1" customWidth="1"/>
    <col min="12035" max="12035" width="13.140625" style="30" customWidth="1"/>
    <col min="12036" max="12036" width="24.28515625" style="30" customWidth="1"/>
    <col min="12037" max="12037" width="16" style="30" customWidth="1"/>
    <col min="12038" max="12286" width="9.140625" style="30"/>
    <col min="12287" max="12287" width="38.42578125" style="30" customWidth="1"/>
    <col min="12288" max="12288" width="14.140625" style="30" customWidth="1"/>
    <col min="12289" max="12290" width="0" style="30" hidden="1" customWidth="1"/>
    <col min="12291" max="12291" width="13.140625" style="30" customWidth="1"/>
    <col min="12292" max="12292" width="24.28515625" style="30" customWidth="1"/>
    <col min="12293" max="12293" width="16" style="30" customWidth="1"/>
    <col min="12294" max="12542" width="9.140625" style="30"/>
    <col min="12543" max="12543" width="38.42578125" style="30" customWidth="1"/>
    <col min="12544" max="12544" width="14.140625" style="30" customWidth="1"/>
    <col min="12545" max="12546" width="0" style="30" hidden="1" customWidth="1"/>
    <col min="12547" max="12547" width="13.140625" style="30" customWidth="1"/>
    <col min="12548" max="12548" width="24.28515625" style="30" customWidth="1"/>
    <col min="12549" max="12549" width="16" style="30" customWidth="1"/>
    <col min="12550" max="12798" width="9.140625" style="30"/>
    <col min="12799" max="12799" width="38.42578125" style="30" customWidth="1"/>
    <col min="12800" max="12800" width="14.140625" style="30" customWidth="1"/>
    <col min="12801" max="12802" width="0" style="30" hidden="1" customWidth="1"/>
    <col min="12803" max="12803" width="13.140625" style="30" customWidth="1"/>
    <col min="12804" max="12804" width="24.28515625" style="30" customWidth="1"/>
    <col min="12805" max="12805" width="16" style="30" customWidth="1"/>
    <col min="12806" max="13054" width="9.140625" style="30"/>
    <col min="13055" max="13055" width="38.42578125" style="30" customWidth="1"/>
    <col min="13056" max="13056" width="14.140625" style="30" customWidth="1"/>
    <col min="13057" max="13058" width="0" style="30" hidden="1" customWidth="1"/>
    <col min="13059" max="13059" width="13.140625" style="30" customWidth="1"/>
    <col min="13060" max="13060" width="24.28515625" style="30" customWidth="1"/>
    <col min="13061" max="13061" width="16" style="30" customWidth="1"/>
    <col min="13062" max="13310" width="9.140625" style="30"/>
    <col min="13311" max="13311" width="38.42578125" style="30" customWidth="1"/>
    <col min="13312" max="13312" width="14.140625" style="30" customWidth="1"/>
    <col min="13313" max="13314" width="0" style="30" hidden="1" customWidth="1"/>
    <col min="13315" max="13315" width="13.140625" style="30" customWidth="1"/>
    <col min="13316" max="13316" width="24.28515625" style="30" customWidth="1"/>
    <col min="13317" max="13317" width="16" style="30" customWidth="1"/>
    <col min="13318" max="13566" width="9.140625" style="30"/>
    <col min="13567" max="13567" width="38.42578125" style="30" customWidth="1"/>
    <col min="13568" max="13568" width="14.140625" style="30" customWidth="1"/>
    <col min="13569" max="13570" width="0" style="30" hidden="1" customWidth="1"/>
    <col min="13571" max="13571" width="13.140625" style="30" customWidth="1"/>
    <col min="13572" max="13572" width="24.28515625" style="30" customWidth="1"/>
    <col min="13573" max="13573" width="16" style="30" customWidth="1"/>
    <col min="13574" max="13822" width="9.140625" style="30"/>
    <col min="13823" max="13823" width="38.42578125" style="30" customWidth="1"/>
    <col min="13824" max="13824" width="14.140625" style="30" customWidth="1"/>
    <col min="13825" max="13826" width="0" style="30" hidden="1" customWidth="1"/>
    <col min="13827" max="13827" width="13.140625" style="30" customWidth="1"/>
    <col min="13828" max="13828" width="24.28515625" style="30" customWidth="1"/>
    <col min="13829" max="13829" width="16" style="30" customWidth="1"/>
    <col min="13830" max="14078" width="9.140625" style="30"/>
    <col min="14079" max="14079" width="38.42578125" style="30" customWidth="1"/>
    <col min="14080" max="14080" width="14.140625" style="30" customWidth="1"/>
    <col min="14081" max="14082" width="0" style="30" hidden="1" customWidth="1"/>
    <col min="14083" max="14083" width="13.140625" style="30" customWidth="1"/>
    <col min="14084" max="14084" width="24.28515625" style="30" customWidth="1"/>
    <col min="14085" max="14085" width="16" style="30" customWidth="1"/>
    <col min="14086" max="14334" width="9.140625" style="30"/>
    <col min="14335" max="14335" width="38.42578125" style="30" customWidth="1"/>
    <col min="14336" max="14336" width="14.140625" style="30" customWidth="1"/>
    <col min="14337" max="14338" width="0" style="30" hidden="1" customWidth="1"/>
    <col min="14339" max="14339" width="13.140625" style="30" customWidth="1"/>
    <col min="14340" max="14340" width="24.28515625" style="30" customWidth="1"/>
    <col min="14341" max="14341" width="16" style="30" customWidth="1"/>
    <col min="14342" max="14590" width="9.140625" style="30"/>
    <col min="14591" max="14591" width="38.42578125" style="30" customWidth="1"/>
    <col min="14592" max="14592" width="14.140625" style="30" customWidth="1"/>
    <col min="14593" max="14594" width="0" style="30" hidden="1" customWidth="1"/>
    <col min="14595" max="14595" width="13.140625" style="30" customWidth="1"/>
    <col min="14596" max="14596" width="24.28515625" style="30" customWidth="1"/>
    <col min="14597" max="14597" width="16" style="30" customWidth="1"/>
    <col min="14598" max="14846" width="9.140625" style="30"/>
    <col min="14847" max="14847" width="38.42578125" style="30" customWidth="1"/>
    <col min="14848" max="14848" width="14.140625" style="30" customWidth="1"/>
    <col min="14849" max="14850" width="0" style="30" hidden="1" customWidth="1"/>
    <col min="14851" max="14851" width="13.140625" style="30" customWidth="1"/>
    <col min="14852" max="14852" width="24.28515625" style="30" customWidth="1"/>
    <col min="14853" max="14853" width="16" style="30" customWidth="1"/>
    <col min="14854" max="15102" width="9.140625" style="30"/>
    <col min="15103" max="15103" width="38.42578125" style="30" customWidth="1"/>
    <col min="15104" max="15104" width="14.140625" style="30" customWidth="1"/>
    <col min="15105" max="15106" width="0" style="30" hidden="1" customWidth="1"/>
    <col min="15107" max="15107" width="13.140625" style="30" customWidth="1"/>
    <col min="15108" max="15108" width="24.28515625" style="30" customWidth="1"/>
    <col min="15109" max="15109" width="16" style="30" customWidth="1"/>
    <col min="15110" max="15358" width="9.140625" style="30"/>
    <col min="15359" max="15359" width="38.42578125" style="30" customWidth="1"/>
    <col min="15360" max="15360" width="14.140625" style="30" customWidth="1"/>
    <col min="15361" max="15362" width="0" style="30" hidden="1" customWidth="1"/>
    <col min="15363" max="15363" width="13.140625" style="30" customWidth="1"/>
    <col min="15364" max="15364" width="24.28515625" style="30" customWidth="1"/>
    <col min="15365" max="15365" width="16" style="30" customWidth="1"/>
    <col min="15366" max="15614" width="9.140625" style="30"/>
    <col min="15615" max="15615" width="38.42578125" style="30" customWidth="1"/>
    <col min="15616" max="15616" width="14.140625" style="30" customWidth="1"/>
    <col min="15617" max="15618" width="0" style="30" hidden="1" customWidth="1"/>
    <col min="15619" max="15619" width="13.140625" style="30" customWidth="1"/>
    <col min="15620" max="15620" width="24.28515625" style="30" customWidth="1"/>
    <col min="15621" max="15621" width="16" style="30" customWidth="1"/>
    <col min="15622" max="15870" width="9.140625" style="30"/>
    <col min="15871" max="15871" width="38.42578125" style="30" customWidth="1"/>
    <col min="15872" max="15872" width="14.140625" style="30" customWidth="1"/>
    <col min="15873" max="15874" width="0" style="30" hidden="1" customWidth="1"/>
    <col min="15875" max="15875" width="13.140625" style="30" customWidth="1"/>
    <col min="15876" max="15876" width="24.28515625" style="30" customWidth="1"/>
    <col min="15877" max="15877" width="16" style="30" customWidth="1"/>
    <col min="15878" max="16126" width="9.140625" style="30"/>
    <col min="16127" max="16127" width="38.42578125" style="30" customWidth="1"/>
    <col min="16128" max="16128" width="14.140625" style="30" customWidth="1"/>
    <col min="16129" max="16130" width="0" style="30" hidden="1" customWidth="1"/>
    <col min="16131" max="16131" width="13.140625" style="30" customWidth="1"/>
    <col min="16132" max="16132" width="24.28515625" style="30" customWidth="1"/>
    <col min="16133" max="16133" width="16" style="30" customWidth="1"/>
    <col min="16134" max="16384" width="9.140625" style="30"/>
  </cols>
  <sheetData>
    <row r="1" spans="1:4" ht="18.75" x14ac:dyDescent="0.3">
      <c r="A1" s="253" t="s">
        <v>903</v>
      </c>
      <c r="B1" s="254"/>
      <c r="C1" s="254"/>
      <c r="D1" s="254"/>
    </row>
    <row r="2" spans="1:4" ht="18.75" x14ac:dyDescent="0.3">
      <c r="A2" s="253" t="s">
        <v>268</v>
      </c>
      <c r="B2" s="254"/>
      <c r="C2" s="254"/>
      <c r="D2" s="254"/>
    </row>
    <row r="3" spans="1:4" ht="18.75" customHeight="1" x14ac:dyDescent="0.3">
      <c r="A3" s="253" t="s">
        <v>228</v>
      </c>
      <c r="B3" s="254"/>
      <c r="C3" s="254"/>
      <c r="D3" s="254"/>
    </row>
    <row r="4" spans="1:4" ht="18.75" customHeight="1" x14ac:dyDescent="0.3">
      <c r="A4" s="253" t="str">
        <f>'Прил 1 (Доходы)'!A4:C4</f>
        <v>от 28 ноября 2019 г. № 36</v>
      </c>
      <c r="B4" s="253"/>
      <c r="C4" s="253"/>
      <c r="D4" s="253"/>
    </row>
    <row r="5" spans="1:4" ht="18.75" x14ac:dyDescent="0.3">
      <c r="A5" s="31"/>
      <c r="B5" s="32"/>
      <c r="C5" s="32"/>
      <c r="D5" s="32"/>
    </row>
    <row r="6" spans="1:4" ht="18.75" x14ac:dyDescent="0.3">
      <c r="A6" s="253" t="s">
        <v>267</v>
      </c>
      <c r="B6" s="254"/>
      <c r="C6" s="254"/>
      <c r="D6" s="254"/>
    </row>
    <row r="7" spans="1:4" ht="18.75" x14ac:dyDescent="0.3">
      <c r="A7" s="253" t="s">
        <v>268</v>
      </c>
      <c r="B7" s="254"/>
      <c r="C7" s="254"/>
      <c r="D7" s="254"/>
    </row>
    <row r="8" spans="1:4" ht="18.75" x14ac:dyDescent="0.3">
      <c r="A8" s="253" t="s">
        <v>228</v>
      </c>
      <c r="B8" s="254"/>
      <c r="C8" s="254"/>
      <c r="D8" s="254"/>
    </row>
    <row r="9" spans="1:4" ht="18.75" customHeight="1" x14ac:dyDescent="0.3">
      <c r="A9" s="255" t="s">
        <v>269</v>
      </c>
      <c r="B9" s="255"/>
      <c r="C9" s="255"/>
      <c r="D9" s="255"/>
    </row>
    <row r="10" spans="1:4" ht="18.75" x14ac:dyDescent="0.3">
      <c r="A10" s="31"/>
      <c r="B10" s="33"/>
      <c r="C10" s="33"/>
      <c r="D10" s="33"/>
    </row>
    <row r="11" spans="1:4" ht="15.75" customHeight="1" x14ac:dyDescent="0.3">
      <c r="A11" s="137"/>
      <c r="B11" s="256" t="s">
        <v>270</v>
      </c>
      <c r="C11" s="256"/>
      <c r="D11" s="256"/>
    </row>
    <row r="12" spans="1:4" ht="15.75" customHeight="1" x14ac:dyDescent="0.3">
      <c r="A12" s="137"/>
      <c r="B12" s="137"/>
      <c r="C12" s="256"/>
      <c r="D12" s="256"/>
    </row>
    <row r="13" spans="1:4" ht="24.75" customHeight="1" x14ac:dyDescent="0.3">
      <c r="A13" s="257" t="s">
        <v>271</v>
      </c>
      <c r="B13" s="257"/>
      <c r="C13" s="257"/>
      <c r="D13" s="257"/>
    </row>
    <row r="14" spans="1:4" ht="33" customHeight="1" x14ac:dyDescent="0.25">
      <c r="A14" s="251" t="s">
        <v>272</v>
      </c>
      <c r="B14" s="251"/>
      <c r="C14" s="251"/>
      <c r="D14" s="251"/>
    </row>
    <row r="15" spans="1:4" ht="9" customHeight="1" x14ac:dyDescent="0.25">
      <c r="A15" s="252"/>
      <c r="B15" s="252"/>
      <c r="C15" s="252"/>
      <c r="D15" s="252"/>
    </row>
    <row r="16" spans="1:4" ht="15.75" customHeight="1" x14ac:dyDescent="0.3">
      <c r="A16" s="34"/>
      <c r="B16" s="33"/>
      <c r="C16" s="33"/>
      <c r="D16" s="33"/>
    </row>
    <row r="17" spans="1:6" ht="84" customHeight="1" x14ac:dyDescent="0.3">
      <c r="A17" s="35" t="s">
        <v>273</v>
      </c>
      <c r="B17" s="35" t="s">
        <v>274</v>
      </c>
      <c r="C17" s="36" t="s">
        <v>275</v>
      </c>
      <c r="D17" s="36" t="s">
        <v>276</v>
      </c>
      <c r="E17" s="37"/>
      <c r="F17" s="38"/>
    </row>
    <row r="18" spans="1:6" ht="18.75" customHeight="1" x14ac:dyDescent="0.3">
      <c r="A18" s="39" t="s">
        <v>277</v>
      </c>
      <c r="B18" s="40">
        <f>SUM(B20:D28)</f>
        <v>45052.33400000001</v>
      </c>
      <c r="C18" s="40">
        <f>SUM(C28:C28)</f>
        <v>0</v>
      </c>
      <c r="D18" s="41">
        <f>SUM(D28:D28)</f>
        <v>0</v>
      </c>
      <c r="F18" s="38"/>
    </row>
    <row r="19" spans="1:6" ht="15" customHeight="1" x14ac:dyDescent="0.3">
      <c r="A19" s="42"/>
      <c r="B19" s="43"/>
      <c r="C19" s="44"/>
      <c r="D19" s="45"/>
    </row>
    <row r="20" spans="1:6" ht="16.5" customHeight="1" x14ac:dyDescent="0.3">
      <c r="A20" s="42" t="s">
        <v>278</v>
      </c>
      <c r="B20" s="43">
        <f>1400+25318.31+4.185-0.022</f>
        <v>26722.473000000002</v>
      </c>
      <c r="C20" s="44"/>
      <c r="D20" s="45"/>
    </row>
    <row r="21" spans="1:6" ht="16.5" customHeight="1" x14ac:dyDescent="0.3">
      <c r="A21" s="42" t="s">
        <v>279</v>
      </c>
      <c r="B21" s="43">
        <v>600</v>
      </c>
      <c r="C21" s="44"/>
      <c r="D21" s="45"/>
    </row>
    <row r="22" spans="1:6" ht="18.75" customHeight="1" x14ac:dyDescent="0.3">
      <c r="A22" s="42" t="s">
        <v>280</v>
      </c>
      <c r="B22" s="43">
        <f>100+55+95.95+4670.345+0.732+132.03</f>
        <v>5054.0569999999998</v>
      </c>
      <c r="C22" s="44"/>
      <c r="D22" s="45"/>
    </row>
    <row r="23" spans="1:6" ht="18.75" customHeight="1" x14ac:dyDescent="0.3">
      <c r="A23" s="42" t="s">
        <v>281</v>
      </c>
      <c r="B23" s="43">
        <f>1672.094+3.155+76.8</f>
        <v>1752.049</v>
      </c>
      <c r="C23" s="44"/>
      <c r="D23" s="45"/>
    </row>
    <row r="24" spans="1:6" ht="18.75" customHeight="1" x14ac:dyDescent="0.3">
      <c r="A24" s="42" t="s">
        <v>282</v>
      </c>
      <c r="B24" s="43">
        <f>1495.619+2.27</f>
        <v>1497.8889999999999</v>
      </c>
      <c r="C24" s="44"/>
      <c r="D24" s="45"/>
    </row>
    <row r="25" spans="1:6" ht="18.75" customHeight="1" x14ac:dyDescent="0.3">
      <c r="A25" s="42" t="s">
        <v>283</v>
      </c>
      <c r="B25" s="43">
        <f>3630.181+8.589+51</f>
        <v>3689.77</v>
      </c>
      <c r="C25" s="44"/>
      <c r="D25" s="45"/>
    </row>
    <row r="26" spans="1:6" ht="18.75" customHeight="1" x14ac:dyDescent="0.3">
      <c r="A26" s="42" t="s">
        <v>284</v>
      </c>
      <c r="B26" s="43">
        <f>3.214+2519.717+43.622</f>
        <v>2566.5529999999999</v>
      </c>
      <c r="C26" s="44"/>
      <c r="D26" s="45"/>
    </row>
    <row r="27" spans="1:6" ht="18.75" x14ac:dyDescent="0.3">
      <c r="A27" s="42" t="s">
        <v>285</v>
      </c>
      <c r="B27" s="43">
        <f>1176.027+557.4</f>
        <v>1733.4270000000001</v>
      </c>
      <c r="C27" s="44"/>
      <c r="D27" s="45"/>
    </row>
    <row r="28" spans="1:6" ht="18.75" x14ac:dyDescent="0.3">
      <c r="A28" s="46" t="s">
        <v>286</v>
      </c>
      <c r="B28" s="47">
        <f>1362.529+8+62.787+2.8</f>
        <v>1436.116</v>
      </c>
      <c r="C28" s="47"/>
      <c r="D28" s="48"/>
      <c r="E28" s="49"/>
    </row>
    <row r="29" spans="1:6" ht="18.75" x14ac:dyDescent="0.3">
      <c r="A29" s="50"/>
      <c r="B29" s="33"/>
      <c r="C29" s="33"/>
      <c r="D29" s="33"/>
    </row>
    <row r="30" spans="1:6" ht="18.75" x14ac:dyDescent="0.3">
      <c r="A30" s="50"/>
      <c r="B30" s="33"/>
      <c r="C30" s="33"/>
      <c r="D30" s="33"/>
    </row>
    <row r="31" spans="1:6" x14ac:dyDescent="0.25">
      <c r="A31" s="51"/>
    </row>
    <row r="32" spans="1:6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1"/>
    </row>
    <row r="41" spans="1:1" x14ac:dyDescent="0.25">
      <c r="A41" s="51"/>
    </row>
    <row r="42" spans="1:1" x14ac:dyDescent="0.25">
      <c r="A42" s="52"/>
    </row>
    <row r="43" spans="1:1" x14ac:dyDescent="0.25">
      <c r="A43" s="52"/>
    </row>
    <row r="44" spans="1:1" x14ac:dyDescent="0.25">
      <c r="A44" s="51"/>
    </row>
    <row r="45" spans="1:1" x14ac:dyDescent="0.25">
      <c r="A45" s="51"/>
    </row>
    <row r="46" spans="1:1" x14ac:dyDescent="0.25">
      <c r="A46" s="51"/>
    </row>
    <row r="47" spans="1:1" x14ac:dyDescent="0.25">
      <c r="A47" s="51"/>
    </row>
    <row r="48" spans="1:1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3"/>
    </row>
    <row r="52" spans="1:1" x14ac:dyDescent="0.25">
      <c r="A52" s="54"/>
    </row>
  </sheetData>
  <mergeCells count="12">
    <mergeCell ref="A14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C12:D12"/>
    <mergeCell ref="A13:D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29"/>
  <sheetViews>
    <sheetView view="pageBreakPreview" topLeftCell="A28" zoomScale="60" zoomScaleNormal="100" workbookViewId="0">
      <selection activeCell="O33" sqref="O33"/>
    </sheetView>
  </sheetViews>
  <sheetFormatPr defaultRowHeight="15" x14ac:dyDescent="0.25"/>
  <cols>
    <col min="1" max="1" width="79.7109375" customWidth="1"/>
    <col min="2" max="2" width="16.7109375" customWidth="1"/>
    <col min="3" max="3" width="16.28515625" customWidth="1"/>
    <col min="4" max="4" width="10.7109375" customWidth="1"/>
    <col min="5" max="5" width="18" customWidth="1"/>
    <col min="6" max="6" width="17" customWidth="1"/>
  </cols>
  <sheetData>
    <row r="1" spans="1:6" ht="18.75" x14ac:dyDescent="0.3">
      <c r="E1" s="139"/>
      <c r="F1" s="139" t="s">
        <v>229</v>
      </c>
    </row>
    <row r="2" spans="1:6" ht="18.75" x14ac:dyDescent="0.3">
      <c r="E2" s="139"/>
      <c r="F2" s="139" t="s">
        <v>14</v>
      </c>
    </row>
    <row r="3" spans="1:6" ht="18.75" x14ac:dyDescent="0.3">
      <c r="E3" s="139"/>
      <c r="F3" s="139" t="s">
        <v>228</v>
      </c>
    </row>
    <row r="4" spans="1:6" ht="18.75" x14ac:dyDescent="0.3">
      <c r="A4" s="258" t="str">
        <f>'Прил 1 (Доходы)'!A4:C4</f>
        <v>от 28 ноября 2019 г. № 36</v>
      </c>
      <c r="B4" s="258"/>
      <c r="C4" s="258"/>
      <c r="D4" s="258"/>
      <c r="E4" s="258"/>
      <c r="F4" s="258"/>
    </row>
    <row r="7" spans="1:6" s="140" customFormat="1" ht="18.75" x14ac:dyDescent="0.3">
      <c r="D7" s="139"/>
      <c r="E7" s="139"/>
      <c r="F7" s="139" t="s">
        <v>503</v>
      </c>
    </row>
    <row r="8" spans="1:6" s="140" customFormat="1" ht="18.75" x14ac:dyDescent="0.3">
      <c r="D8" s="139"/>
      <c r="E8" s="139"/>
      <c r="F8" s="139" t="s">
        <v>14</v>
      </c>
    </row>
    <row r="9" spans="1:6" s="140" customFormat="1" ht="18.75" x14ac:dyDescent="0.3">
      <c r="D9" s="139"/>
      <c r="E9" s="139"/>
      <c r="F9" s="139" t="s">
        <v>228</v>
      </c>
    </row>
    <row r="10" spans="1:6" s="140" customFormat="1" ht="18.75" x14ac:dyDescent="0.3">
      <c r="D10" s="139"/>
      <c r="E10" s="139"/>
      <c r="F10" s="139" t="s">
        <v>498</v>
      </c>
    </row>
    <row r="11" spans="1:6" ht="15.75" x14ac:dyDescent="0.25">
      <c r="A11" s="141"/>
      <c r="B11" s="141"/>
      <c r="C11" s="141"/>
      <c r="D11" s="141"/>
      <c r="E11" s="129"/>
    </row>
    <row r="12" spans="1:6" ht="18.75" x14ac:dyDescent="0.25">
      <c r="A12" s="259" t="s">
        <v>504</v>
      </c>
      <c r="B12" s="259"/>
      <c r="C12" s="259"/>
      <c r="D12" s="259"/>
      <c r="E12" s="259"/>
      <c r="F12" s="259"/>
    </row>
    <row r="14" spans="1:6" ht="18.75" x14ac:dyDescent="0.25">
      <c r="A14" s="142"/>
      <c r="B14" s="142"/>
      <c r="C14" s="142"/>
      <c r="D14" s="142"/>
      <c r="E14" s="260" t="s">
        <v>15</v>
      </c>
      <c r="F14" s="260"/>
    </row>
    <row r="15" spans="1:6" x14ac:dyDescent="0.25">
      <c r="A15" s="261" t="s">
        <v>16</v>
      </c>
      <c r="B15" s="262" t="s">
        <v>17</v>
      </c>
      <c r="C15" s="262" t="s">
        <v>18</v>
      </c>
      <c r="D15" s="262" t="s">
        <v>19</v>
      </c>
      <c r="E15" s="261" t="s">
        <v>505</v>
      </c>
      <c r="F15" s="261" t="s">
        <v>506</v>
      </c>
    </row>
    <row r="16" spans="1:6" x14ac:dyDescent="0.25">
      <c r="A16" s="261"/>
      <c r="B16" s="262" t="s">
        <v>17</v>
      </c>
      <c r="C16" s="262" t="s">
        <v>18</v>
      </c>
      <c r="D16" s="262" t="s">
        <v>19</v>
      </c>
      <c r="E16" s="261" t="s">
        <v>5</v>
      </c>
      <c r="F16" s="261" t="s">
        <v>5</v>
      </c>
    </row>
    <row r="17" spans="1:6" s="144" customFormat="1" x14ac:dyDescent="0.25">
      <c r="A17" s="143">
        <v>1</v>
      </c>
      <c r="B17" s="143">
        <v>2</v>
      </c>
      <c r="C17" s="143">
        <v>3</v>
      </c>
      <c r="D17" s="143">
        <v>4</v>
      </c>
      <c r="E17" s="143">
        <v>5</v>
      </c>
      <c r="F17" s="143">
        <v>6</v>
      </c>
    </row>
    <row r="18" spans="1:6" ht="15.75" x14ac:dyDescent="0.25">
      <c r="A18" s="145" t="s">
        <v>20</v>
      </c>
      <c r="B18" s="146"/>
      <c r="C18" s="146"/>
      <c r="D18" s="146"/>
      <c r="E18" s="147">
        <f>14250.1+616451.675</f>
        <v>630701.77500000002</v>
      </c>
      <c r="F18" s="147">
        <v>628127.13500000001</v>
      </c>
    </row>
    <row r="19" spans="1:6" ht="15.75" x14ac:dyDescent="0.25">
      <c r="A19" s="148" t="s">
        <v>21</v>
      </c>
      <c r="B19" s="149" t="s">
        <v>22</v>
      </c>
      <c r="C19" s="149"/>
      <c r="D19" s="149"/>
      <c r="E19" s="150">
        <v>1266.5930000000001</v>
      </c>
      <c r="F19" s="150">
        <v>1266.5930000000001</v>
      </c>
    </row>
    <row r="20" spans="1:6" ht="15.75" x14ac:dyDescent="0.25">
      <c r="A20" s="151" t="s">
        <v>23</v>
      </c>
      <c r="B20" s="152" t="s">
        <v>22</v>
      </c>
      <c r="C20" s="152" t="s">
        <v>24</v>
      </c>
      <c r="D20" s="152"/>
      <c r="E20" s="153">
        <v>1266.5930000000001</v>
      </c>
      <c r="F20" s="153">
        <v>1266.5930000000001</v>
      </c>
    </row>
    <row r="21" spans="1:6" ht="15.75" x14ac:dyDescent="0.25">
      <c r="A21" s="151" t="s">
        <v>25</v>
      </c>
      <c r="B21" s="152" t="s">
        <v>22</v>
      </c>
      <c r="C21" s="152" t="s">
        <v>26</v>
      </c>
      <c r="D21" s="152"/>
      <c r="E21" s="153">
        <v>1266.5930000000001</v>
      </c>
      <c r="F21" s="153">
        <v>1266.5930000000001</v>
      </c>
    </row>
    <row r="22" spans="1:6" ht="15.75" x14ac:dyDescent="0.25">
      <c r="A22" s="151" t="s">
        <v>27</v>
      </c>
      <c r="B22" s="152" t="s">
        <v>22</v>
      </c>
      <c r="C22" s="152" t="s">
        <v>28</v>
      </c>
      <c r="D22" s="152"/>
      <c r="E22" s="153">
        <v>840.12</v>
      </c>
      <c r="F22" s="153">
        <v>840.12</v>
      </c>
    </row>
    <row r="23" spans="1:6" ht="47.25" x14ac:dyDescent="0.25">
      <c r="A23" s="154" t="s">
        <v>29</v>
      </c>
      <c r="B23" s="155" t="s">
        <v>22</v>
      </c>
      <c r="C23" s="155" t="s">
        <v>28</v>
      </c>
      <c r="D23" s="155" t="s">
        <v>30</v>
      </c>
      <c r="E23" s="156">
        <v>840.12</v>
      </c>
      <c r="F23" s="156">
        <v>840.12</v>
      </c>
    </row>
    <row r="24" spans="1:6" ht="31.5" x14ac:dyDescent="0.25">
      <c r="A24" s="151" t="s">
        <v>31</v>
      </c>
      <c r="B24" s="152" t="s">
        <v>22</v>
      </c>
      <c r="C24" s="152" t="s">
        <v>32</v>
      </c>
      <c r="D24" s="152"/>
      <c r="E24" s="153">
        <v>19.013000000000002</v>
      </c>
      <c r="F24" s="153">
        <v>19.013000000000002</v>
      </c>
    </row>
    <row r="25" spans="1:6" ht="31.5" x14ac:dyDescent="0.25">
      <c r="A25" s="154" t="s">
        <v>33</v>
      </c>
      <c r="B25" s="155" t="s">
        <v>22</v>
      </c>
      <c r="C25" s="155" t="s">
        <v>32</v>
      </c>
      <c r="D25" s="155" t="s">
        <v>7</v>
      </c>
      <c r="E25" s="156">
        <v>19.013000000000002</v>
      </c>
      <c r="F25" s="156">
        <v>19.013000000000002</v>
      </c>
    </row>
    <row r="26" spans="1:6" ht="63" x14ac:dyDescent="0.25">
      <c r="A26" s="151" t="s">
        <v>34</v>
      </c>
      <c r="B26" s="152" t="s">
        <v>22</v>
      </c>
      <c r="C26" s="152" t="s">
        <v>35</v>
      </c>
      <c r="D26" s="152"/>
      <c r="E26" s="153">
        <v>407.46</v>
      </c>
      <c r="F26" s="153">
        <v>407.46</v>
      </c>
    </row>
    <row r="27" spans="1:6" ht="47.25" x14ac:dyDescent="0.25">
      <c r="A27" s="154" t="s">
        <v>29</v>
      </c>
      <c r="B27" s="155" t="s">
        <v>22</v>
      </c>
      <c r="C27" s="155" t="s">
        <v>35</v>
      </c>
      <c r="D27" s="155" t="s">
        <v>30</v>
      </c>
      <c r="E27" s="156">
        <v>390.57</v>
      </c>
      <c r="F27" s="156">
        <v>390.57</v>
      </c>
    </row>
    <row r="28" spans="1:6" ht="31.5" x14ac:dyDescent="0.25">
      <c r="A28" s="154" t="s">
        <v>33</v>
      </c>
      <c r="B28" s="155" t="s">
        <v>22</v>
      </c>
      <c r="C28" s="155" t="s">
        <v>35</v>
      </c>
      <c r="D28" s="155" t="s">
        <v>7</v>
      </c>
      <c r="E28" s="156">
        <v>16.89</v>
      </c>
      <c r="F28" s="156">
        <v>16.89</v>
      </c>
    </row>
    <row r="29" spans="1:6" ht="15.75" x14ac:dyDescent="0.25">
      <c r="A29" s="157" t="s">
        <v>36</v>
      </c>
      <c r="B29" s="158" t="s">
        <v>37</v>
      </c>
      <c r="C29" s="158"/>
      <c r="D29" s="158"/>
      <c r="E29" s="159">
        <v>150</v>
      </c>
      <c r="F29" s="159">
        <v>150</v>
      </c>
    </row>
    <row r="30" spans="1:6" ht="15.75" x14ac:dyDescent="0.25">
      <c r="A30" s="151" t="s">
        <v>23</v>
      </c>
      <c r="B30" s="152" t="s">
        <v>37</v>
      </c>
      <c r="C30" s="152" t="s">
        <v>24</v>
      </c>
      <c r="D30" s="152"/>
      <c r="E30" s="153">
        <v>150</v>
      </c>
      <c r="F30" s="153">
        <v>150</v>
      </c>
    </row>
    <row r="31" spans="1:6" ht="15.75" x14ac:dyDescent="0.25">
      <c r="A31" s="151" t="s">
        <v>25</v>
      </c>
      <c r="B31" s="152" t="s">
        <v>37</v>
      </c>
      <c r="C31" s="152" t="s">
        <v>26</v>
      </c>
      <c r="D31" s="152"/>
      <c r="E31" s="153">
        <v>150</v>
      </c>
      <c r="F31" s="153">
        <v>150</v>
      </c>
    </row>
    <row r="32" spans="1:6" ht="15.75" x14ac:dyDescent="0.25">
      <c r="A32" s="151" t="s">
        <v>38</v>
      </c>
      <c r="B32" s="152" t="s">
        <v>37</v>
      </c>
      <c r="C32" s="152" t="s">
        <v>39</v>
      </c>
      <c r="D32" s="152"/>
      <c r="E32" s="153">
        <v>150</v>
      </c>
      <c r="F32" s="153">
        <v>150</v>
      </c>
    </row>
    <row r="33" spans="1:6" ht="31.5" x14ac:dyDescent="0.25">
      <c r="A33" s="154" t="s">
        <v>33</v>
      </c>
      <c r="B33" s="155" t="s">
        <v>37</v>
      </c>
      <c r="C33" s="155" t="s">
        <v>39</v>
      </c>
      <c r="D33" s="155" t="s">
        <v>7</v>
      </c>
      <c r="E33" s="156">
        <v>150</v>
      </c>
      <c r="F33" s="156">
        <v>150</v>
      </c>
    </row>
    <row r="34" spans="1:6" ht="31.5" x14ac:dyDescent="0.25">
      <c r="A34" s="157" t="s">
        <v>344</v>
      </c>
      <c r="B34" s="158" t="s">
        <v>345</v>
      </c>
      <c r="C34" s="158"/>
      <c r="D34" s="158"/>
      <c r="E34" s="159">
        <v>69686.404999999999</v>
      </c>
      <c r="F34" s="159">
        <v>55454.766000000003</v>
      </c>
    </row>
    <row r="35" spans="1:6" ht="15.75" x14ac:dyDescent="0.25">
      <c r="A35" s="151" t="s">
        <v>40</v>
      </c>
      <c r="B35" s="152" t="s">
        <v>345</v>
      </c>
      <c r="C35" s="152" t="s">
        <v>346</v>
      </c>
      <c r="D35" s="152"/>
      <c r="E35" s="153">
        <v>200</v>
      </c>
      <c r="F35" s="153">
        <v>200</v>
      </c>
    </row>
    <row r="36" spans="1:6" ht="31.5" x14ac:dyDescent="0.25">
      <c r="A36" s="151" t="s">
        <v>50</v>
      </c>
      <c r="B36" s="152" t="s">
        <v>345</v>
      </c>
      <c r="C36" s="152" t="s">
        <v>360</v>
      </c>
      <c r="D36" s="152"/>
      <c r="E36" s="153">
        <v>200</v>
      </c>
      <c r="F36" s="153">
        <v>200</v>
      </c>
    </row>
    <row r="37" spans="1:6" ht="47.25" x14ac:dyDescent="0.25">
      <c r="A37" s="151" t="s">
        <v>361</v>
      </c>
      <c r="B37" s="152" t="s">
        <v>345</v>
      </c>
      <c r="C37" s="152" t="s">
        <v>362</v>
      </c>
      <c r="D37" s="152"/>
      <c r="E37" s="153">
        <v>200</v>
      </c>
      <c r="F37" s="153">
        <v>200</v>
      </c>
    </row>
    <row r="38" spans="1:6" ht="15.75" x14ac:dyDescent="0.25">
      <c r="A38" s="154" t="s">
        <v>43</v>
      </c>
      <c r="B38" s="155" t="s">
        <v>345</v>
      </c>
      <c r="C38" s="155" t="s">
        <v>362</v>
      </c>
      <c r="D38" s="155" t="s">
        <v>44</v>
      </c>
      <c r="E38" s="156">
        <v>200</v>
      </c>
      <c r="F38" s="156">
        <v>200</v>
      </c>
    </row>
    <row r="39" spans="1:6" ht="31.5" x14ac:dyDescent="0.25">
      <c r="A39" s="151" t="s">
        <v>52</v>
      </c>
      <c r="B39" s="152" t="s">
        <v>345</v>
      </c>
      <c r="C39" s="152" t="s">
        <v>53</v>
      </c>
      <c r="D39" s="152"/>
      <c r="E39" s="153">
        <f>E40</f>
        <v>24081.0465</v>
      </c>
      <c r="F39" s="153">
        <v>9871.8459999999995</v>
      </c>
    </row>
    <row r="40" spans="1:6" ht="31.5" x14ac:dyDescent="0.25">
      <c r="A40" s="151" t="s">
        <v>54</v>
      </c>
      <c r="B40" s="152" t="s">
        <v>345</v>
      </c>
      <c r="C40" s="152" t="s">
        <v>55</v>
      </c>
      <c r="D40" s="152"/>
      <c r="E40" s="153">
        <f>E41+E43+E46+E49</f>
        <v>24081.0465</v>
      </c>
      <c r="F40" s="153">
        <v>9871.8459999999995</v>
      </c>
    </row>
    <row r="41" spans="1:6" ht="31.5" x14ac:dyDescent="0.25">
      <c r="A41" s="151" t="s">
        <v>507</v>
      </c>
      <c r="B41" s="152" t="s">
        <v>345</v>
      </c>
      <c r="C41" s="152" t="s">
        <v>467</v>
      </c>
      <c r="D41" s="152"/>
      <c r="E41" s="153">
        <f>E42</f>
        <v>9652.9090000000015</v>
      </c>
      <c r="F41" s="153">
        <v>9729.7209999999995</v>
      </c>
    </row>
    <row r="42" spans="1:6" ht="31.5" x14ac:dyDescent="0.25">
      <c r="A42" s="154" t="s">
        <v>33</v>
      </c>
      <c r="B42" s="155" t="s">
        <v>345</v>
      </c>
      <c r="C42" s="155" t="s">
        <v>467</v>
      </c>
      <c r="D42" s="155" t="s">
        <v>7</v>
      </c>
      <c r="E42" s="156">
        <f>-66.951+9719.86</f>
        <v>9652.9090000000015</v>
      </c>
      <c r="F42" s="156">
        <v>9729.7209999999995</v>
      </c>
    </row>
    <row r="43" spans="1:6" ht="15.75" x14ac:dyDescent="0.25">
      <c r="A43" s="151" t="s">
        <v>56</v>
      </c>
      <c r="B43" s="152" t="s">
        <v>345</v>
      </c>
      <c r="C43" s="152" t="s">
        <v>367</v>
      </c>
      <c r="D43" s="152"/>
      <c r="E43" s="153">
        <f>E44</f>
        <v>8916.2264999999989</v>
      </c>
      <c r="F43" s="153">
        <v>119.7</v>
      </c>
    </row>
    <row r="44" spans="1:6" ht="31.5" x14ac:dyDescent="0.25">
      <c r="A44" s="154" t="s">
        <v>33</v>
      </c>
      <c r="B44" s="155" t="s">
        <v>345</v>
      </c>
      <c r="C44" s="155" t="s">
        <v>367</v>
      </c>
      <c r="D44" s="155" t="s">
        <v>7</v>
      </c>
      <c r="E44" s="156">
        <f>8827.3+88.9+0.0265</f>
        <v>8916.2264999999989</v>
      </c>
      <c r="F44" s="156">
        <v>88.9</v>
      </c>
    </row>
    <row r="45" spans="1:6" ht="15.75" x14ac:dyDescent="0.25">
      <c r="A45" s="154" t="s">
        <v>46</v>
      </c>
      <c r="B45" s="155" t="s">
        <v>345</v>
      </c>
      <c r="C45" s="155" t="s">
        <v>367</v>
      </c>
      <c r="D45" s="155" t="s">
        <v>47</v>
      </c>
      <c r="E45" s="156">
        <v>30.8</v>
      </c>
      <c r="F45" s="156">
        <v>30.8</v>
      </c>
    </row>
    <row r="46" spans="1:6" ht="15.75" x14ac:dyDescent="0.25">
      <c r="A46" s="151" t="s">
        <v>59</v>
      </c>
      <c r="B46" s="152" t="s">
        <v>345</v>
      </c>
      <c r="C46" s="152" t="s">
        <v>468</v>
      </c>
      <c r="D46" s="152"/>
      <c r="E46" s="153">
        <f>E48+E47</f>
        <v>511.911</v>
      </c>
      <c r="F46" s="153">
        <v>22.425000000000001</v>
      </c>
    </row>
    <row r="47" spans="1:6" ht="31.5" x14ac:dyDescent="0.25">
      <c r="A47" s="154" t="s">
        <v>33</v>
      </c>
      <c r="B47" s="155" t="s">
        <v>345</v>
      </c>
      <c r="C47" s="155" t="s">
        <v>468</v>
      </c>
      <c r="D47" s="155" t="s">
        <v>7</v>
      </c>
      <c r="E47" s="153">
        <v>66.855999999999995</v>
      </c>
      <c r="F47" s="153"/>
    </row>
    <row r="48" spans="1:6" ht="31.5" x14ac:dyDescent="0.25">
      <c r="A48" s="154" t="s">
        <v>33</v>
      </c>
      <c r="B48" s="155" t="s">
        <v>345</v>
      </c>
      <c r="C48" s="155" t="s">
        <v>369</v>
      </c>
      <c r="D48" s="155" t="s">
        <v>7</v>
      </c>
      <c r="E48" s="156">
        <f>422.8-0.17+22.425</f>
        <v>445.05500000000001</v>
      </c>
      <c r="F48" s="156">
        <v>22.425000000000001</v>
      </c>
    </row>
    <row r="49" spans="1:6" ht="15.75" x14ac:dyDescent="0.25">
      <c r="A49" s="198" t="s">
        <v>626</v>
      </c>
      <c r="B49" s="199" t="s">
        <v>345</v>
      </c>
      <c r="C49" s="199" t="s">
        <v>625</v>
      </c>
      <c r="D49" s="155"/>
      <c r="E49" s="156">
        <f>E50</f>
        <v>5000</v>
      </c>
      <c r="F49" s="156"/>
    </row>
    <row r="50" spans="1:6" ht="31.5" x14ac:dyDescent="0.25">
      <c r="A50" s="154" t="s">
        <v>33</v>
      </c>
      <c r="B50" s="200" t="s">
        <v>345</v>
      </c>
      <c r="C50" s="200" t="s">
        <v>625</v>
      </c>
      <c r="D50" s="155" t="s">
        <v>7</v>
      </c>
      <c r="E50" s="156">
        <v>5000</v>
      </c>
      <c r="F50" s="156"/>
    </row>
    <row r="51" spans="1:6" ht="31.5" x14ac:dyDescent="0.25">
      <c r="A51" s="151" t="s">
        <v>67</v>
      </c>
      <c r="B51" s="152" t="s">
        <v>345</v>
      </c>
      <c r="C51" s="152" t="s">
        <v>68</v>
      </c>
      <c r="D51" s="152"/>
      <c r="E51" s="153">
        <v>1669</v>
      </c>
      <c r="F51" s="153">
        <v>1669</v>
      </c>
    </row>
    <row r="52" spans="1:6" ht="31.5" x14ac:dyDescent="0.25">
      <c r="A52" s="151" t="s">
        <v>69</v>
      </c>
      <c r="B52" s="152" t="s">
        <v>345</v>
      </c>
      <c r="C52" s="152" t="s">
        <v>70</v>
      </c>
      <c r="D52" s="152"/>
      <c r="E52" s="153">
        <v>1669</v>
      </c>
      <c r="F52" s="153">
        <v>1669</v>
      </c>
    </row>
    <row r="53" spans="1:6" ht="31.5" x14ac:dyDescent="0.25">
      <c r="A53" s="151" t="s">
        <v>377</v>
      </c>
      <c r="B53" s="152" t="s">
        <v>345</v>
      </c>
      <c r="C53" s="152" t="s">
        <v>378</v>
      </c>
      <c r="D53" s="152"/>
      <c r="E53" s="153">
        <v>834.5</v>
      </c>
      <c r="F53" s="153">
        <v>834.5</v>
      </c>
    </row>
    <row r="54" spans="1:6" ht="15.75" x14ac:dyDescent="0.25">
      <c r="A54" s="154" t="s">
        <v>71</v>
      </c>
      <c r="B54" s="155" t="s">
        <v>345</v>
      </c>
      <c r="C54" s="155" t="s">
        <v>378</v>
      </c>
      <c r="D54" s="155" t="s">
        <v>8</v>
      </c>
      <c r="E54" s="156">
        <v>834.5</v>
      </c>
      <c r="F54" s="156">
        <v>834.5</v>
      </c>
    </row>
    <row r="55" spans="1:6" ht="47.25" x14ac:dyDescent="0.25">
      <c r="A55" s="151" t="s">
        <v>379</v>
      </c>
      <c r="B55" s="152" t="s">
        <v>345</v>
      </c>
      <c r="C55" s="152" t="s">
        <v>380</v>
      </c>
      <c r="D55" s="152"/>
      <c r="E55" s="153">
        <v>834.5</v>
      </c>
      <c r="F55" s="153">
        <v>834.5</v>
      </c>
    </row>
    <row r="56" spans="1:6" ht="15.75" x14ac:dyDescent="0.25">
      <c r="A56" s="154" t="s">
        <v>71</v>
      </c>
      <c r="B56" s="155" t="s">
        <v>345</v>
      </c>
      <c r="C56" s="155" t="s">
        <v>380</v>
      </c>
      <c r="D56" s="155" t="s">
        <v>8</v>
      </c>
      <c r="E56" s="156">
        <v>834.5</v>
      </c>
      <c r="F56" s="156">
        <v>834.5</v>
      </c>
    </row>
    <row r="57" spans="1:6" ht="31.5" x14ac:dyDescent="0.25">
      <c r="A57" s="151" t="s">
        <v>79</v>
      </c>
      <c r="B57" s="152" t="s">
        <v>345</v>
      </c>
      <c r="C57" s="152" t="s">
        <v>80</v>
      </c>
      <c r="D57" s="152"/>
      <c r="E57" s="153">
        <v>34824.394</v>
      </c>
      <c r="F57" s="153">
        <v>34842.394</v>
      </c>
    </row>
    <row r="58" spans="1:6" ht="31.5" x14ac:dyDescent="0.25">
      <c r="A58" s="151" t="s">
        <v>86</v>
      </c>
      <c r="B58" s="152" t="s">
        <v>345</v>
      </c>
      <c r="C58" s="152" t="s">
        <v>395</v>
      </c>
      <c r="D58" s="152"/>
      <c r="E58" s="153">
        <v>20</v>
      </c>
      <c r="F58" s="153">
        <v>20</v>
      </c>
    </row>
    <row r="59" spans="1:6" ht="31.5" x14ac:dyDescent="0.25">
      <c r="A59" s="151" t="s">
        <v>87</v>
      </c>
      <c r="B59" s="152" t="s">
        <v>345</v>
      </c>
      <c r="C59" s="152" t="s">
        <v>396</v>
      </c>
      <c r="D59" s="152"/>
      <c r="E59" s="153">
        <v>20</v>
      </c>
      <c r="F59" s="153">
        <v>20</v>
      </c>
    </row>
    <row r="60" spans="1:6" ht="31.5" x14ac:dyDescent="0.25">
      <c r="A60" s="154" t="s">
        <v>33</v>
      </c>
      <c r="B60" s="155" t="s">
        <v>345</v>
      </c>
      <c r="C60" s="155" t="s">
        <v>396</v>
      </c>
      <c r="D60" s="155" t="s">
        <v>7</v>
      </c>
      <c r="E60" s="156">
        <v>20</v>
      </c>
      <c r="F60" s="156">
        <v>20</v>
      </c>
    </row>
    <row r="61" spans="1:6" ht="15.75" x14ac:dyDescent="0.25">
      <c r="A61" s="151" t="s">
        <v>88</v>
      </c>
      <c r="B61" s="152" t="s">
        <v>345</v>
      </c>
      <c r="C61" s="152" t="s">
        <v>397</v>
      </c>
      <c r="D61" s="152"/>
      <c r="E61" s="153">
        <v>34804.394</v>
      </c>
      <c r="F61" s="153">
        <v>34822.394</v>
      </c>
    </row>
    <row r="62" spans="1:6" ht="31.5" x14ac:dyDescent="0.25">
      <c r="A62" s="151" t="s">
        <v>89</v>
      </c>
      <c r="B62" s="152" t="s">
        <v>345</v>
      </c>
      <c r="C62" s="152" t="s">
        <v>398</v>
      </c>
      <c r="D62" s="152"/>
      <c r="E62" s="153">
        <v>34804.394</v>
      </c>
      <c r="F62" s="153">
        <v>34822.394</v>
      </c>
    </row>
    <row r="63" spans="1:6" ht="47.25" x14ac:dyDescent="0.25">
      <c r="A63" s="154" t="s">
        <v>29</v>
      </c>
      <c r="B63" s="155" t="s">
        <v>345</v>
      </c>
      <c r="C63" s="155" t="s">
        <v>398</v>
      </c>
      <c r="D63" s="155" t="s">
        <v>30</v>
      </c>
      <c r="E63" s="156">
        <v>30474.194</v>
      </c>
      <c r="F63" s="156">
        <v>30494.194</v>
      </c>
    </row>
    <row r="64" spans="1:6" ht="31.5" x14ac:dyDescent="0.25">
      <c r="A64" s="154" t="s">
        <v>33</v>
      </c>
      <c r="B64" s="155" t="s">
        <v>345</v>
      </c>
      <c r="C64" s="155" t="s">
        <v>398</v>
      </c>
      <c r="D64" s="155" t="s">
        <v>7</v>
      </c>
      <c r="E64" s="156">
        <v>4186.2</v>
      </c>
      <c r="F64" s="156">
        <v>4186.2</v>
      </c>
    </row>
    <row r="65" spans="1:6" ht="15.75" x14ac:dyDescent="0.25">
      <c r="A65" s="154" t="s">
        <v>43</v>
      </c>
      <c r="B65" s="155" t="s">
        <v>345</v>
      </c>
      <c r="C65" s="155" t="s">
        <v>398</v>
      </c>
      <c r="D65" s="155" t="s">
        <v>44</v>
      </c>
      <c r="E65" s="156">
        <v>144</v>
      </c>
      <c r="F65" s="156">
        <v>142</v>
      </c>
    </row>
    <row r="66" spans="1:6" ht="31.5" x14ac:dyDescent="0.25">
      <c r="A66" s="151" t="s">
        <v>90</v>
      </c>
      <c r="B66" s="152" t="s">
        <v>345</v>
      </c>
      <c r="C66" s="152" t="s">
        <v>340</v>
      </c>
      <c r="D66" s="152"/>
      <c r="E66" s="153">
        <v>282</v>
      </c>
      <c r="F66" s="153">
        <v>282</v>
      </c>
    </row>
    <row r="67" spans="1:6" ht="15.75" x14ac:dyDescent="0.25">
      <c r="A67" s="151" t="s">
        <v>91</v>
      </c>
      <c r="B67" s="152" t="s">
        <v>345</v>
      </c>
      <c r="C67" s="152" t="s">
        <v>399</v>
      </c>
      <c r="D67" s="152"/>
      <c r="E67" s="153">
        <v>282</v>
      </c>
      <c r="F67" s="153">
        <v>282</v>
      </c>
    </row>
    <row r="68" spans="1:6" ht="31.5" x14ac:dyDescent="0.25">
      <c r="A68" s="151" t="s">
        <v>400</v>
      </c>
      <c r="B68" s="152" t="s">
        <v>345</v>
      </c>
      <c r="C68" s="152" t="s">
        <v>401</v>
      </c>
      <c r="D68" s="152"/>
      <c r="E68" s="153">
        <v>282</v>
      </c>
      <c r="F68" s="153">
        <v>282</v>
      </c>
    </row>
    <row r="69" spans="1:6" ht="31.5" x14ac:dyDescent="0.25">
      <c r="A69" s="154" t="s">
        <v>33</v>
      </c>
      <c r="B69" s="155" t="s">
        <v>345</v>
      </c>
      <c r="C69" s="155" t="s">
        <v>401</v>
      </c>
      <c r="D69" s="155" t="s">
        <v>7</v>
      </c>
      <c r="E69" s="156">
        <v>282</v>
      </c>
      <c r="F69" s="156">
        <v>282</v>
      </c>
    </row>
    <row r="70" spans="1:6" ht="15.75" x14ac:dyDescent="0.25">
      <c r="A70" s="151" t="s">
        <v>23</v>
      </c>
      <c r="B70" s="152" t="s">
        <v>345</v>
      </c>
      <c r="C70" s="152" t="s">
        <v>24</v>
      </c>
      <c r="D70" s="152"/>
      <c r="E70" s="153">
        <v>8598.9259999999995</v>
      </c>
      <c r="F70" s="153">
        <v>8589.5259999999998</v>
      </c>
    </row>
    <row r="71" spans="1:6" ht="15.75" x14ac:dyDescent="0.25">
      <c r="A71" s="151" t="s">
        <v>25</v>
      </c>
      <c r="B71" s="152" t="s">
        <v>345</v>
      </c>
      <c r="C71" s="152" t="s">
        <v>26</v>
      </c>
      <c r="D71" s="152"/>
      <c r="E71" s="153">
        <v>8598.9259999999995</v>
      </c>
      <c r="F71" s="153">
        <v>8589.5259999999998</v>
      </c>
    </row>
    <row r="72" spans="1:6" ht="31.5" x14ac:dyDescent="0.25">
      <c r="A72" s="151" t="s">
        <v>108</v>
      </c>
      <c r="B72" s="152" t="s">
        <v>345</v>
      </c>
      <c r="C72" s="152" t="s">
        <v>412</v>
      </c>
      <c r="D72" s="152"/>
      <c r="E72" s="153">
        <v>1794.3710000000001</v>
      </c>
      <c r="F72" s="153">
        <v>1794.3710000000001</v>
      </c>
    </row>
    <row r="73" spans="1:6" ht="47.25" x14ac:dyDescent="0.25">
      <c r="A73" s="154" t="s">
        <v>29</v>
      </c>
      <c r="B73" s="155" t="s">
        <v>345</v>
      </c>
      <c r="C73" s="155" t="s">
        <v>412</v>
      </c>
      <c r="D73" s="155" t="s">
        <v>30</v>
      </c>
      <c r="E73" s="156">
        <v>1794.3710000000001</v>
      </c>
      <c r="F73" s="156">
        <v>1794.3710000000001</v>
      </c>
    </row>
    <row r="74" spans="1:6" ht="31.5" x14ac:dyDescent="0.25">
      <c r="A74" s="151" t="s">
        <v>110</v>
      </c>
      <c r="B74" s="152" t="s">
        <v>345</v>
      </c>
      <c r="C74" s="152" t="s">
        <v>414</v>
      </c>
      <c r="D74" s="152"/>
      <c r="E74" s="153">
        <v>12.7</v>
      </c>
      <c r="F74" s="153">
        <v>13.3</v>
      </c>
    </row>
    <row r="75" spans="1:6" ht="31.5" x14ac:dyDescent="0.25">
      <c r="A75" s="154" t="s">
        <v>33</v>
      </c>
      <c r="B75" s="155" t="s">
        <v>345</v>
      </c>
      <c r="C75" s="155" t="s">
        <v>414</v>
      </c>
      <c r="D75" s="155" t="s">
        <v>7</v>
      </c>
      <c r="E75" s="156">
        <v>12.7</v>
      </c>
      <c r="F75" s="156">
        <v>13.3</v>
      </c>
    </row>
    <row r="76" spans="1:6" ht="63" x14ac:dyDescent="0.25">
      <c r="A76" s="151" t="s">
        <v>415</v>
      </c>
      <c r="B76" s="152" t="s">
        <v>345</v>
      </c>
      <c r="C76" s="152" t="s">
        <v>416</v>
      </c>
      <c r="D76" s="152"/>
      <c r="E76" s="153">
        <v>11.8</v>
      </c>
      <c r="F76" s="153">
        <v>11.8</v>
      </c>
    </row>
    <row r="77" spans="1:6" ht="31.5" x14ac:dyDescent="0.25">
      <c r="A77" s="154" t="s">
        <v>33</v>
      </c>
      <c r="B77" s="155" t="s">
        <v>345</v>
      </c>
      <c r="C77" s="155" t="s">
        <v>416</v>
      </c>
      <c r="D77" s="155" t="s">
        <v>7</v>
      </c>
      <c r="E77" s="156">
        <v>11.8</v>
      </c>
      <c r="F77" s="156">
        <v>11.8</v>
      </c>
    </row>
    <row r="78" spans="1:6" ht="63" x14ac:dyDescent="0.25">
      <c r="A78" s="151" t="s">
        <v>417</v>
      </c>
      <c r="B78" s="152" t="s">
        <v>345</v>
      </c>
      <c r="C78" s="152" t="s">
        <v>418</v>
      </c>
      <c r="D78" s="152"/>
      <c r="E78" s="153">
        <v>62.5</v>
      </c>
      <c r="F78" s="153">
        <v>62.5</v>
      </c>
    </row>
    <row r="79" spans="1:6" ht="47.25" x14ac:dyDescent="0.25">
      <c r="A79" s="154" t="s">
        <v>29</v>
      </c>
      <c r="B79" s="155" t="s">
        <v>345</v>
      </c>
      <c r="C79" s="155" t="s">
        <v>418</v>
      </c>
      <c r="D79" s="155" t="s">
        <v>30</v>
      </c>
      <c r="E79" s="156">
        <v>55.34</v>
      </c>
      <c r="F79" s="156">
        <v>55.34</v>
      </c>
    </row>
    <row r="80" spans="1:6" ht="31.5" x14ac:dyDescent="0.25">
      <c r="A80" s="154" t="s">
        <v>33</v>
      </c>
      <c r="B80" s="155" t="s">
        <v>345</v>
      </c>
      <c r="C80" s="155" t="s">
        <v>418</v>
      </c>
      <c r="D80" s="155" t="s">
        <v>7</v>
      </c>
      <c r="E80" s="156">
        <v>7.16</v>
      </c>
      <c r="F80" s="156">
        <v>7.16</v>
      </c>
    </row>
    <row r="81" spans="1:6" ht="126" x14ac:dyDescent="0.25">
      <c r="A81" s="160" t="s">
        <v>419</v>
      </c>
      <c r="B81" s="152" t="s">
        <v>345</v>
      </c>
      <c r="C81" s="152" t="s">
        <v>420</v>
      </c>
      <c r="D81" s="152"/>
      <c r="E81" s="153">
        <v>221.5</v>
      </c>
      <c r="F81" s="153">
        <v>221.5</v>
      </c>
    </row>
    <row r="82" spans="1:6" ht="47.25" x14ac:dyDescent="0.25">
      <c r="A82" s="154" t="s">
        <v>29</v>
      </c>
      <c r="B82" s="155" t="s">
        <v>345</v>
      </c>
      <c r="C82" s="155" t="s">
        <v>420</v>
      </c>
      <c r="D82" s="155" t="s">
        <v>30</v>
      </c>
      <c r="E82" s="156">
        <v>207.321</v>
      </c>
      <c r="F82" s="156">
        <v>207.321</v>
      </c>
    </row>
    <row r="83" spans="1:6" ht="31.5" x14ac:dyDescent="0.25">
      <c r="A83" s="154" t="s">
        <v>33</v>
      </c>
      <c r="B83" s="155" t="s">
        <v>345</v>
      </c>
      <c r="C83" s="155" t="s">
        <v>420</v>
      </c>
      <c r="D83" s="155" t="s">
        <v>7</v>
      </c>
      <c r="E83" s="156">
        <v>14.179</v>
      </c>
      <c r="F83" s="156">
        <v>14.179</v>
      </c>
    </row>
    <row r="84" spans="1:6" ht="94.5" x14ac:dyDescent="0.25">
      <c r="A84" s="160" t="s">
        <v>111</v>
      </c>
      <c r="B84" s="152" t="s">
        <v>345</v>
      </c>
      <c r="C84" s="152" t="s">
        <v>112</v>
      </c>
      <c r="D84" s="152"/>
      <c r="E84" s="153">
        <v>4.3600000000000003</v>
      </c>
      <c r="F84" s="153">
        <v>4.3600000000000003</v>
      </c>
    </row>
    <row r="85" spans="1:6" ht="31.5" x14ac:dyDescent="0.25">
      <c r="A85" s="154" t="s">
        <v>33</v>
      </c>
      <c r="B85" s="155" t="s">
        <v>345</v>
      </c>
      <c r="C85" s="155" t="s">
        <v>112</v>
      </c>
      <c r="D85" s="155" t="s">
        <v>7</v>
      </c>
      <c r="E85" s="156">
        <v>4.3600000000000003</v>
      </c>
      <c r="F85" s="156">
        <v>4.3600000000000003</v>
      </c>
    </row>
    <row r="86" spans="1:6" ht="31.5" x14ac:dyDescent="0.25">
      <c r="A86" s="151" t="s">
        <v>113</v>
      </c>
      <c r="B86" s="152" t="s">
        <v>345</v>
      </c>
      <c r="C86" s="152" t="s">
        <v>421</v>
      </c>
      <c r="D86" s="152"/>
      <c r="E86" s="153">
        <v>1500</v>
      </c>
      <c r="F86" s="153">
        <v>1500</v>
      </c>
    </row>
    <row r="87" spans="1:6" ht="15.75" x14ac:dyDescent="0.25">
      <c r="A87" s="154" t="s">
        <v>43</v>
      </c>
      <c r="B87" s="155" t="s">
        <v>345</v>
      </c>
      <c r="C87" s="155" t="s">
        <v>421</v>
      </c>
      <c r="D87" s="155" t="s">
        <v>44</v>
      </c>
      <c r="E87" s="156">
        <v>1500</v>
      </c>
      <c r="F87" s="156">
        <v>1500</v>
      </c>
    </row>
    <row r="88" spans="1:6" ht="15.75" x14ac:dyDescent="0.25">
      <c r="A88" s="151" t="s">
        <v>38</v>
      </c>
      <c r="B88" s="152" t="s">
        <v>345</v>
      </c>
      <c r="C88" s="152" t="s">
        <v>39</v>
      </c>
      <c r="D88" s="152"/>
      <c r="E88" s="153">
        <v>4991.6949999999997</v>
      </c>
      <c r="F88" s="153">
        <v>4981.6949999999997</v>
      </c>
    </row>
    <row r="89" spans="1:6" ht="31.5" x14ac:dyDescent="0.25">
      <c r="A89" s="154" t="s">
        <v>33</v>
      </c>
      <c r="B89" s="155" t="s">
        <v>345</v>
      </c>
      <c r="C89" s="155" t="s">
        <v>39</v>
      </c>
      <c r="D89" s="155" t="s">
        <v>7</v>
      </c>
      <c r="E89" s="156">
        <v>240</v>
      </c>
      <c r="F89" s="156">
        <v>230</v>
      </c>
    </row>
    <row r="90" spans="1:6" ht="15.75" x14ac:dyDescent="0.25">
      <c r="A90" s="154" t="s">
        <v>71</v>
      </c>
      <c r="B90" s="155" t="s">
        <v>345</v>
      </c>
      <c r="C90" s="155" t="s">
        <v>39</v>
      </c>
      <c r="D90" s="155" t="s">
        <v>8</v>
      </c>
      <c r="E90" s="156">
        <v>4661.6949999999997</v>
      </c>
      <c r="F90" s="156">
        <v>4661.6949999999997</v>
      </c>
    </row>
    <row r="91" spans="1:6" ht="15.75" x14ac:dyDescent="0.25">
      <c r="A91" s="154" t="s">
        <v>43</v>
      </c>
      <c r="B91" s="155" t="s">
        <v>345</v>
      </c>
      <c r="C91" s="155" t="s">
        <v>39</v>
      </c>
      <c r="D91" s="155" t="s">
        <v>44</v>
      </c>
      <c r="E91" s="156">
        <v>90</v>
      </c>
      <c r="F91" s="156">
        <v>90</v>
      </c>
    </row>
    <row r="92" spans="1:6" ht="31.5" x14ac:dyDescent="0.25">
      <c r="A92" s="157" t="s">
        <v>295</v>
      </c>
      <c r="B92" s="158" t="s">
        <v>296</v>
      </c>
      <c r="C92" s="158"/>
      <c r="D92" s="158"/>
      <c r="E92" s="159">
        <v>86356.135999999999</v>
      </c>
      <c r="F92" s="159">
        <v>86370.135999999999</v>
      </c>
    </row>
    <row r="93" spans="1:6" ht="31.5" x14ac:dyDescent="0.25">
      <c r="A93" s="151" t="s">
        <v>114</v>
      </c>
      <c r="B93" s="152" t="s">
        <v>296</v>
      </c>
      <c r="C93" s="152" t="s">
        <v>297</v>
      </c>
      <c r="D93" s="152"/>
      <c r="E93" s="153">
        <v>77685.672000000006</v>
      </c>
      <c r="F93" s="153">
        <v>77709.672000000006</v>
      </c>
    </row>
    <row r="94" spans="1:6" ht="31.5" x14ac:dyDescent="0.25">
      <c r="A94" s="151" t="s">
        <v>115</v>
      </c>
      <c r="B94" s="152" t="s">
        <v>296</v>
      </c>
      <c r="C94" s="152" t="s">
        <v>298</v>
      </c>
      <c r="D94" s="152"/>
      <c r="E94" s="153">
        <v>14257.2</v>
      </c>
      <c r="F94" s="153">
        <v>14257.2</v>
      </c>
    </row>
    <row r="95" spans="1:6" ht="15.75" x14ac:dyDescent="0.25">
      <c r="A95" s="151" t="s">
        <v>116</v>
      </c>
      <c r="B95" s="152" t="s">
        <v>296</v>
      </c>
      <c r="C95" s="152" t="s">
        <v>299</v>
      </c>
      <c r="D95" s="152"/>
      <c r="E95" s="153">
        <v>14257.2</v>
      </c>
      <c r="F95" s="153">
        <v>14257.2</v>
      </c>
    </row>
    <row r="96" spans="1:6" ht="31.5" x14ac:dyDescent="0.25">
      <c r="A96" s="154" t="s">
        <v>105</v>
      </c>
      <c r="B96" s="155" t="s">
        <v>296</v>
      </c>
      <c r="C96" s="155" t="s">
        <v>299</v>
      </c>
      <c r="D96" s="155" t="s">
        <v>106</v>
      </c>
      <c r="E96" s="156">
        <v>14257.2</v>
      </c>
      <c r="F96" s="156">
        <v>14257.2</v>
      </c>
    </row>
    <row r="97" spans="1:6" ht="15.75" x14ac:dyDescent="0.25">
      <c r="A97" s="151" t="s">
        <v>118</v>
      </c>
      <c r="B97" s="152" t="s">
        <v>296</v>
      </c>
      <c r="C97" s="152" t="s">
        <v>301</v>
      </c>
      <c r="D97" s="152"/>
      <c r="E97" s="153">
        <v>14776.003000000001</v>
      </c>
      <c r="F97" s="153">
        <v>14825.003000000001</v>
      </c>
    </row>
    <row r="98" spans="1:6" ht="15.75" x14ac:dyDescent="0.25">
      <c r="A98" s="151" t="s">
        <v>120</v>
      </c>
      <c r="B98" s="152" t="s">
        <v>296</v>
      </c>
      <c r="C98" s="152" t="s">
        <v>303</v>
      </c>
      <c r="D98" s="152"/>
      <c r="E98" s="153">
        <v>80</v>
      </c>
      <c r="F98" s="153">
        <v>80</v>
      </c>
    </row>
    <row r="99" spans="1:6" ht="31.5" x14ac:dyDescent="0.25">
      <c r="A99" s="154" t="s">
        <v>105</v>
      </c>
      <c r="B99" s="155" t="s">
        <v>296</v>
      </c>
      <c r="C99" s="155" t="s">
        <v>303</v>
      </c>
      <c r="D99" s="155" t="s">
        <v>106</v>
      </c>
      <c r="E99" s="156">
        <v>80</v>
      </c>
      <c r="F99" s="156">
        <v>80</v>
      </c>
    </row>
    <row r="100" spans="1:6" ht="31.5" x14ac:dyDescent="0.25">
      <c r="A100" s="151" t="s">
        <v>121</v>
      </c>
      <c r="B100" s="152" t="s">
        <v>296</v>
      </c>
      <c r="C100" s="152" t="s">
        <v>304</v>
      </c>
      <c r="D100" s="152"/>
      <c r="E100" s="153">
        <v>126</v>
      </c>
      <c r="F100" s="153">
        <v>126</v>
      </c>
    </row>
    <row r="101" spans="1:6" ht="31.5" x14ac:dyDescent="0.25">
      <c r="A101" s="154" t="s">
        <v>105</v>
      </c>
      <c r="B101" s="155" t="s">
        <v>296</v>
      </c>
      <c r="C101" s="155" t="s">
        <v>304</v>
      </c>
      <c r="D101" s="155" t="s">
        <v>106</v>
      </c>
      <c r="E101" s="156">
        <v>126</v>
      </c>
      <c r="F101" s="156">
        <v>126</v>
      </c>
    </row>
    <row r="102" spans="1:6" ht="15.75" x14ac:dyDescent="0.25">
      <c r="A102" s="151" t="s">
        <v>122</v>
      </c>
      <c r="B102" s="152" t="s">
        <v>296</v>
      </c>
      <c r="C102" s="152" t="s">
        <v>305</v>
      </c>
      <c r="D102" s="152"/>
      <c r="E102" s="153">
        <v>14570.003000000001</v>
      </c>
      <c r="F102" s="153">
        <v>14619.003000000001</v>
      </c>
    </row>
    <row r="103" spans="1:6" ht="31.5" x14ac:dyDescent="0.25">
      <c r="A103" s="154" t="s">
        <v>105</v>
      </c>
      <c r="B103" s="155" t="s">
        <v>296</v>
      </c>
      <c r="C103" s="155" t="s">
        <v>305</v>
      </c>
      <c r="D103" s="155" t="s">
        <v>106</v>
      </c>
      <c r="E103" s="156">
        <v>14570.003000000001</v>
      </c>
      <c r="F103" s="156">
        <v>14619.003000000001</v>
      </c>
    </row>
    <row r="104" spans="1:6" ht="15.75" x14ac:dyDescent="0.25">
      <c r="A104" s="151" t="s">
        <v>125</v>
      </c>
      <c r="B104" s="152" t="s">
        <v>296</v>
      </c>
      <c r="C104" s="152" t="s">
        <v>308</v>
      </c>
      <c r="D104" s="152"/>
      <c r="E104" s="153">
        <v>2307.2359999999999</v>
      </c>
      <c r="F104" s="153">
        <v>2307.2359999999999</v>
      </c>
    </row>
    <row r="105" spans="1:6" ht="15.75" x14ac:dyDescent="0.25">
      <c r="A105" s="151" t="s">
        <v>122</v>
      </c>
      <c r="B105" s="152" t="s">
        <v>296</v>
      </c>
      <c r="C105" s="152" t="s">
        <v>309</v>
      </c>
      <c r="D105" s="152"/>
      <c r="E105" s="153">
        <v>2307.2359999999999</v>
      </c>
      <c r="F105" s="153">
        <v>2307.2359999999999</v>
      </c>
    </row>
    <row r="106" spans="1:6" ht="31.5" x14ac:dyDescent="0.25">
      <c r="A106" s="154" t="s">
        <v>105</v>
      </c>
      <c r="B106" s="155" t="s">
        <v>296</v>
      </c>
      <c r="C106" s="155" t="s">
        <v>309</v>
      </c>
      <c r="D106" s="155" t="s">
        <v>106</v>
      </c>
      <c r="E106" s="156">
        <v>2307.2359999999999</v>
      </c>
      <c r="F106" s="156">
        <v>2307.2359999999999</v>
      </c>
    </row>
    <row r="107" spans="1:6" ht="31.5" x14ac:dyDescent="0.25">
      <c r="A107" s="151" t="s">
        <v>126</v>
      </c>
      <c r="B107" s="152" t="s">
        <v>296</v>
      </c>
      <c r="C107" s="152" t="s">
        <v>312</v>
      </c>
      <c r="D107" s="152"/>
      <c r="E107" s="153">
        <v>22217.671999999999</v>
      </c>
      <c r="F107" s="153">
        <v>22217.671999999999</v>
      </c>
    </row>
    <row r="108" spans="1:6" ht="15.75" x14ac:dyDescent="0.25">
      <c r="A108" s="151" t="s">
        <v>127</v>
      </c>
      <c r="B108" s="152" t="s">
        <v>296</v>
      </c>
      <c r="C108" s="152" t="s">
        <v>314</v>
      </c>
      <c r="D108" s="152"/>
      <c r="E108" s="153">
        <v>21817.671999999999</v>
      </c>
      <c r="F108" s="153">
        <v>21817.671999999999</v>
      </c>
    </row>
    <row r="109" spans="1:6" ht="31.5" x14ac:dyDescent="0.25">
      <c r="A109" s="154" t="s">
        <v>105</v>
      </c>
      <c r="B109" s="155" t="s">
        <v>296</v>
      </c>
      <c r="C109" s="155" t="s">
        <v>314</v>
      </c>
      <c r="D109" s="155" t="s">
        <v>106</v>
      </c>
      <c r="E109" s="156">
        <v>21817.671999999999</v>
      </c>
      <c r="F109" s="156">
        <v>21817.671999999999</v>
      </c>
    </row>
    <row r="110" spans="1:6" ht="15.75" x14ac:dyDescent="0.25">
      <c r="A110" s="151" t="s">
        <v>128</v>
      </c>
      <c r="B110" s="152" t="s">
        <v>296</v>
      </c>
      <c r="C110" s="152" t="s">
        <v>316</v>
      </c>
      <c r="D110" s="152"/>
      <c r="E110" s="153">
        <v>400</v>
      </c>
      <c r="F110" s="153">
        <v>400</v>
      </c>
    </row>
    <row r="111" spans="1:6" ht="31.5" x14ac:dyDescent="0.25">
      <c r="A111" s="154" t="s">
        <v>105</v>
      </c>
      <c r="B111" s="155" t="s">
        <v>296</v>
      </c>
      <c r="C111" s="155" t="s">
        <v>316</v>
      </c>
      <c r="D111" s="155" t="s">
        <v>106</v>
      </c>
      <c r="E111" s="156">
        <v>400</v>
      </c>
      <c r="F111" s="156">
        <v>400</v>
      </c>
    </row>
    <row r="112" spans="1:6" ht="15.75" x14ac:dyDescent="0.25">
      <c r="A112" s="151" t="s">
        <v>131</v>
      </c>
      <c r="B112" s="152" t="s">
        <v>296</v>
      </c>
      <c r="C112" s="152" t="s">
        <v>322</v>
      </c>
      <c r="D112" s="152"/>
      <c r="E112" s="153">
        <v>4979.2719999999999</v>
      </c>
      <c r="F112" s="153">
        <v>4954.2719999999999</v>
      </c>
    </row>
    <row r="113" spans="1:6" ht="15.75" x14ac:dyDescent="0.25">
      <c r="A113" s="151" t="s">
        <v>132</v>
      </c>
      <c r="B113" s="152" t="s">
        <v>296</v>
      </c>
      <c r="C113" s="152" t="s">
        <v>323</v>
      </c>
      <c r="D113" s="152"/>
      <c r="E113" s="153">
        <v>4979.2719999999999</v>
      </c>
      <c r="F113" s="153">
        <v>4954.2719999999999</v>
      </c>
    </row>
    <row r="114" spans="1:6" ht="47.25" x14ac:dyDescent="0.25">
      <c r="A114" s="154" t="s">
        <v>29</v>
      </c>
      <c r="B114" s="155" t="s">
        <v>296</v>
      </c>
      <c r="C114" s="155" t="s">
        <v>323</v>
      </c>
      <c r="D114" s="155" t="s">
        <v>30</v>
      </c>
      <c r="E114" s="156">
        <v>4457.2719999999999</v>
      </c>
      <c r="F114" s="156">
        <v>4437.2719999999999</v>
      </c>
    </row>
    <row r="115" spans="1:6" ht="31.5" x14ac:dyDescent="0.25">
      <c r="A115" s="154" t="s">
        <v>33</v>
      </c>
      <c r="B115" s="155" t="s">
        <v>296</v>
      </c>
      <c r="C115" s="155" t="s">
        <v>323</v>
      </c>
      <c r="D115" s="155" t="s">
        <v>7</v>
      </c>
      <c r="E115" s="156">
        <v>522</v>
      </c>
      <c r="F115" s="156">
        <v>517</v>
      </c>
    </row>
    <row r="116" spans="1:6" ht="15.75" x14ac:dyDescent="0.25">
      <c r="A116" s="151" t="s">
        <v>133</v>
      </c>
      <c r="B116" s="152" t="s">
        <v>296</v>
      </c>
      <c r="C116" s="152" t="s">
        <v>324</v>
      </c>
      <c r="D116" s="152"/>
      <c r="E116" s="153">
        <v>17120.455000000002</v>
      </c>
      <c r="F116" s="153">
        <v>17120.455000000002</v>
      </c>
    </row>
    <row r="117" spans="1:6" ht="15.75" x14ac:dyDescent="0.25">
      <c r="A117" s="151" t="s">
        <v>134</v>
      </c>
      <c r="B117" s="152" t="s">
        <v>296</v>
      </c>
      <c r="C117" s="152" t="s">
        <v>325</v>
      </c>
      <c r="D117" s="152"/>
      <c r="E117" s="153">
        <v>17120.455000000002</v>
      </c>
      <c r="F117" s="153">
        <v>17120.455000000002</v>
      </c>
    </row>
    <row r="118" spans="1:6" ht="31.5" x14ac:dyDescent="0.25">
      <c r="A118" s="154" t="s">
        <v>105</v>
      </c>
      <c r="B118" s="155" t="s">
        <v>296</v>
      </c>
      <c r="C118" s="155" t="s">
        <v>325</v>
      </c>
      <c r="D118" s="155" t="s">
        <v>106</v>
      </c>
      <c r="E118" s="156">
        <v>17120.455000000002</v>
      </c>
      <c r="F118" s="156">
        <v>17120.455000000002</v>
      </c>
    </row>
    <row r="119" spans="1:6" ht="15.75" x14ac:dyDescent="0.25">
      <c r="A119" s="151" t="s">
        <v>135</v>
      </c>
      <c r="B119" s="152" t="s">
        <v>296</v>
      </c>
      <c r="C119" s="152" t="s">
        <v>326</v>
      </c>
      <c r="D119" s="152"/>
      <c r="E119" s="153">
        <v>2027.8340000000001</v>
      </c>
      <c r="F119" s="153">
        <v>2027.8340000000001</v>
      </c>
    </row>
    <row r="120" spans="1:6" ht="15.75" x14ac:dyDescent="0.25">
      <c r="A120" s="151" t="s">
        <v>136</v>
      </c>
      <c r="B120" s="152" t="s">
        <v>296</v>
      </c>
      <c r="C120" s="152" t="s">
        <v>327</v>
      </c>
      <c r="D120" s="152"/>
      <c r="E120" s="153">
        <v>2027.8340000000001</v>
      </c>
      <c r="F120" s="153">
        <v>2027.8340000000001</v>
      </c>
    </row>
    <row r="121" spans="1:6" ht="31.5" x14ac:dyDescent="0.25">
      <c r="A121" s="154" t="s">
        <v>105</v>
      </c>
      <c r="B121" s="155" t="s">
        <v>296</v>
      </c>
      <c r="C121" s="155" t="s">
        <v>327</v>
      </c>
      <c r="D121" s="155" t="s">
        <v>106</v>
      </c>
      <c r="E121" s="156">
        <v>2027.8340000000001</v>
      </c>
      <c r="F121" s="156">
        <v>2027.8340000000001</v>
      </c>
    </row>
    <row r="122" spans="1:6" ht="31.5" x14ac:dyDescent="0.25">
      <c r="A122" s="151" t="s">
        <v>137</v>
      </c>
      <c r="B122" s="152" t="s">
        <v>296</v>
      </c>
      <c r="C122" s="152" t="s">
        <v>331</v>
      </c>
      <c r="D122" s="152"/>
      <c r="E122" s="153">
        <v>8670.4639999999999</v>
      </c>
      <c r="F122" s="153">
        <v>8660.4639999999999</v>
      </c>
    </row>
    <row r="123" spans="1:6" ht="15.75" x14ac:dyDescent="0.25">
      <c r="A123" s="151" t="s">
        <v>138</v>
      </c>
      <c r="B123" s="152" t="s">
        <v>296</v>
      </c>
      <c r="C123" s="152" t="s">
        <v>332</v>
      </c>
      <c r="D123" s="152"/>
      <c r="E123" s="153">
        <v>250</v>
      </c>
      <c r="F123" s="153">
        <v>250</v>
      </c>
    </row>
    <row r="124" spans="1:6" ht="47.25" x14ac:dyDescent="0.25">
      <c r="A124" s="151" t="s">
        <v>139</v>
      </c>
      <c r="B124" s="152" t="s">
        <v>296</v>
      </c>
      <c r="C124" s="152" t="s">
        <v>333</v>
      </c>
      <c r="D124" s="152"/>
      <c r="E124" s="153">
        <v>250</v>
      </c>
      <c r="F124" s="153">
        <v>250</v>
      </c>
    </row>
    <row r="125" spans="1:6" ht="31.5" x14ac:dyDescent="0.25">
      <c r="A125" s="154" t="s">
        <v>105</v>
      </c>
      <c r="B125" s="155" t="s">
        <v>296</v>
      </c>
      <c r="C125" s="155" t="s">
        <v>333</v>
      </c>
      <c r="D125" s="155" t="s">
        <v>106</v>
      </c>
      <c r="E125" s="156">
        <v>250</v>
      </c>
      <c r="F125" s="156">
        <v>250</v>
      </c>
    </row>
    <row r="126" spans="1:6" ht="15.75" x14ac:dyDescent="0.25">
      <c r="A126" s="151" t="s">
        <v>140</v>
      </c>
      <c r="B126" s="152" t="s">
        <v>296</v>
      </c>
      <c r="C126" s="152" t="s">
        <v>334</v>
      </c>
      <c r="D126" s="152"/>
      <c r="E126" s="153">
        <v>550</v>
      </c>
      <c r="F126" s="153">
        <v>550</v>
      </c>
    </row>
    <row r="127" spans="1:6" ht="31.5" x14ac:dyDescent="0.25">
      <c r="A127" s="151" t="s">
        <v>141</v>
      </c>
      <c r="B127" s="152" t="s">
        <v>296</v>
      </c>
      <c r="C127" s="152" t="s">
        <v>335</v>
      </c>
      <c r="D127" s="152"/>
      <c r="E127" s="153">
        <v>550</v>
      </c>
      <c r="F127" s="153">
        <v>550</v>
      </c>
    </row>
    <row r="128" spans="1:6" ht="31.5" x14ac:dyDescent="0.25">
      <c r="A128" s="154" t="s">
        <v>105</v>
      </c>
      <c r="B128" s="155" t="s">
        <v>296</v>
      </c>
      <c r="C128" s="155" t="s">
        <v>335</v>
      </c>
      <c r="D128" s="155" t="s">
        <v>106</v>
      </c>
      <c r="E128" s="156">
        <v>550</v>
      </c>
      <c r="F128" s="156">
        <v>550</v>
      </c>
    </row>
    <row r="129" spans="1:6" ht="15.75" x14ac:dyDescent="0.25">
      <c r="A129" s="151" t="s">
        <v>142</v>
      </c>
      <c r="B129" s="152" t="s">
        <v>296</v>
      </c>
      <c r="C129" s="152" t="s">
        <v>336</v>
      </c>
      <c r="D129" s="152"/>
      <c r="E129" s="153">
        <v>7870.4639999999999</v>
      </c>
      <c r="F129" s="153">
        <v>7860.4639999999999</v>
      </c>
    </row>
    <row r="130" spans="1:6" ht="15.75" x14ac:dyDescent="0.25">
      <c r="A130" s="151" t="s">
        <v>143</v>
      </c>
      <c r="B130" s="152" t="s">
        <v>296</v>
      </c>
      <c r="C130" s="152" t="s">
        <v>338</v>
      </c>
      <c r="D130" s="152"/>
      <c r="E130" s="153">
        <v>7870.4639999999999</v>
      </c>
      <c r="F130" s="153">
        <v>7860.4639999999999</v>
      </c>
    </row>
    <row r="131" spans="1:6" ht="31.5" x14ac:dyDescent="0.25">
      <c r="A131" s="154" t="s">
        <v>105</v>
      </c>
      <c r="B131" s="155" t="s">
        <v>296</v>
      </c>
      <c r="C131" s="155" t="s">
        <v>338</v>
      </c>
      <c r="D131" s="155" t="s">
        <v>106</v>
      </c>
      <c r="E131" s="156">
        <v>7870.4639999999999</v>
      </c>
      <c r="F131" s="156">
        <v>7860.4639999999999</v>
      </c>
    </row>
    <row r="132" spans="1:6" ht="47.25" x14ac:dyDescent="0.25">
      <c r="A132" s="157" t="s">
        <v>144</v>
      </c>
      <c r="B132" s="158" t="s">
        <v>145</v>
      </c>
      <c r="C132" s="158"/>
      <c r="D132" s="158"/>
      <c r="E132" s="159">
        <v>15019.025</v>
      </c>
      <c r="F132" s="159">
        <v>15032.825000000001</v>
      </c>
    </row>
    <row r="133" spans="1:6" ht="31.5" x14ac:dyDescent="0.25">
      <c r="A133" s="151" t="s">
        <v>67</v>
      </c>
      <c r="B133" s="152" t="s">
        <v>145</v>
      </c>
      <c r="C133" s="152" t="s">
        <v>68</v>
      </c>
      <c r="D133" s="152"/>
      <c r="E133" s="153">
        <v>9821.0030000000006</v>
      </c>
      <c r="F133" s="153">
        <v>9829.8029999999999</v>
      </c>
    </row>
    <row r="134" spans="1:6" ht="31.5" x14ac:dyDescent="0.25">
      <c r="A134" s="151" t="s">
        <v>69</v>
      </c>
      <c r="B134" s="152" t="s">
        <v>145</v>
      </c>
      <c r="C134" s="152" t="s">
        <v>70</v>
      </c>
      <c r="D134" s="152"/>
      <c r="E134" s="153">
        <v>9436.1</v>
      </c>
      <c r="F134" s="153">
        <v>9436.1</v>
      </c>
    </row>
    <row r="135" spans="1:6" ht="63" x14ac:dyDescent="0.25">
      <c r="A135" s="151" t="s">
        <v>146</v>
      </c>
      <c r="B135" s="152" t="s">
        <v>145</v>
      </c>
      <c r="C135" s="152" t="s">
        <v>147</v>
      </c>
      <c r="D135" s="152"/>
      <c r="E135" s="153">
        <v>1000</v>
      </c>
      <c r="F135" s="153">
        <v>1000</v>
      </c>
    </row>
    <row r="136" spans="1:6" ht="31.5" x14ac:dyDescent="0.25">
      <c r="A136" s="154" t="s">
        <v>33</v>
      </c>
      <c r="B136" s="155" t="s">
        <v>145</v>
      </c>
      <c r="C136" s="155" t="s">
        <v>147</v>
      </c>
      <c r="D136" s="155" t="s">
        <v>7</v>
      </c>
      <c r="E136" s="156">
        <v>1000</v>
      </c>
      <c r="F136" s="156">
        <v>1000</v>
      </c>
    </row>
    <row r="137" spans="1:6" ht="15.75" x14ac:dyDescent="0.25">
      <c r="A137" s="151" t="s">
        <v>148</v>
      </c>
      <c r="B137" s="152" t="s">
        <v>145</v>
      </c>
      <c r="C137" s="152" t="s">
        <v>149</v>
      </c>
      <c r="D137" s="152"/>
      <c r="E137" s="153">
        <v>100</v>
      </c>
      <c r="F137" s="153">
        <v>100</v>
      </c>
    </row>
    <row r="138" spans="1:6" ht="31.5" x14ac:dyDescent="0.25">
      <c r="A138" s="154" t="s">
        <v>33</v>
      </c>
      <c r="B138" s="155" t="s">
        <v>145</v>
      </c>
      <c r="C138" s="155" t="s">
        <v>149</v>
      </c>
      <c r="D138" s="155" t="s">
        <v>7</v>
      </c>
      <c r="E138" s="156">
        <v>100</v>
      </c>
      <c r="F138" s="156">
        <v>100</v>
      </c>
    </row>
    <row r="139" spans="1:6" ht="63" x14ac:dyDescent="0.25">
      <c r="A139" s="151" t="s">
        <v>150</v>
      </c>
      <c r="B139" s="152" t="s">
        <v>145</v>
      </c>
      <c r="C139" s="152" t="s">
        <v>151</v>
      </c>
      <c r="D139" s="152"/>
      <c r="E139" s="153">
        <v>8336.1</v>
      </c>
      <c r="F139" s="153">
        <v>8336.1</v>
      </c>
    </row>
    <row r="140" spans="1:6" ht="94.5" x14ac:dyDescent="0.25">
      <c r="A140" s="160" t="s">
        <v>152</v>
      </c>
      <c r="B140" s="152" t="s">
        <v>145</v>
      </c>
      <c r="C140" s="152" t="s">
        <v>153</v>
      </c>
      <c r="D140" s="152"/>
      <c r="E140" s="153">
        <v>334.5</v>
      </c>
      <c r="F140" s="153">
        <v>334.5</v>
      </c>
    </row>
    <row r="141" spans="1:6" ht="31.5" x14ac:dyDescent="0.25">
      <c r="A141" s="154" t="s">
        <v>154</v>
      </c>
      <c r="B141" s="155" t="s">
        <v>145</v>
      </c>
      <c r="C141" s="155" t="s">
        <v>153</v>
      </c>
      <c r="D141" s="155" t="s">
        <v>10</v>
      </c>
      <c r="E141" s="156">
        <v>334.5</v>
      </c>
      <c r="F141" s="156">
        <v>334.5</v>
      </c>
    </row>
    <row r="142" spans="1:6" ht="94.5" x14ac:dyDescent="0.25">
      <c r="A142" s="160" t="s">
        <v>152</v>
      </c>
      <c r="B142" s="152" t="s">
        <v>145</v>
      </c>
      <c r="C142" s="152" t="s">
        <v>155</v>
      </c>
      <c r="D142" s="152"/>
      <c r="E142" s="153">
        <v>8001.6</v>
      </c>
      <c r="F142" s="153">
        <v>8001.6</v>
      </c>
    </row>
    <row r="143" spans="1:6" ht="31.5" x14ac:dyDescent="0.25">
      <c r="A143" s="154" t="s">
        <v>154</v>
      </c>
      <c r="B143" s="155" t="s">
        <v>145</v>
      </c>
      <c r="C143" s="155" t="s">
        <v>155</v>
      </c>
      <c r="D143" s="155" t="s">
        <v>10</v>
      </c>
      <c r="E143" s="156">
        <v>8001.6</v>
      </c>
      <c r="F143" s="156">
        <v>8001.6</v>
      </c>
    </row>
    <row r="144" spans="1:6" ht="31.5" x14ac:dyDescent="0.25">
      <c r="A144" s="151" t="s">
        <v>73</v>
      </c>
      <c r="B144" s="152" t="s">
        <v>145</v>
      </c>
      <c r="C144" s="152" t="s">
        <v>74</v>
      </c>
      <c r="D144" s="152"/>
      <c r="E144" s="153">
        <v>384.90300000000002</v>
      </c>
      <c r="F144" s="153">
        <v>393.70299999999997</v>
      </c>
    </row>
    <row r="145" spans="1:6" ht="15.75" x14ac:dyDescent="0.25">
      <c r="A145" s="151" t="s">
        <v>162</v>
      </c>
      <c r="B145" s="152" t="s">
        <v>145</v>
      </c>
      <c r="C145" s="152" t="s">
        <v>163</v>
      </c>
      <c r="D145" s="152"/>
      <c r="E145" s="153">
        <v>384.90300000000002</v>
      </c>
      <c r="F145" s="153">
        <v>393.70299999999997</v>
      </c>
    </row>
    <row r="146" spans="1:6" ht="31.5" x14ac:dyDescent="0.25">
      <c r="A146" s="154" t="s">
        <v>33</v>
      </c>
      <c r="B146" s="155" t="s">
        <v>145</v>
      </c>
      <c r="C146" s="155" t="s">
        <v>163</v>
      </c>
      <c r="D146" s="155" t="s">
        <v>7</v>
      </c>
      <c r="E146" s="156">
        <v>384.90300000000002</v>
      </c>
      <c r="F146" s="156">
        <v>393.70299999999997</v>
      </c>
    </row>
    <row r="147" spans="1:6" ht="31.5" x14ac:dyDescent="0.25">
      <c r="A147" s="151" t="s">
        <v>79</v>
      </c>
      <c r="B147" s="152" t="s">
        <v>145</v>
      </c>
      <c r="C147" s="152" t="s">
        <v>80</v>
      </c>
      <c r="D147" s="152"/>
      <c r="E147" s="153">
        <v>5198.0219999999999</v>
      </c>
      <c r="F147" s="153">
        <v>5203.0219999999999</v>
      </c>
    </row>
    <row r="148" spans="1:6" ht="31.5" x14ac:dyDescent="0.25">
      <c r="A148" s="151" t="s">
        <v>166</v>
      </c>
      <c r="B148" s="152" t="s">
        <v>145</v>
      </c>
      <c r="C148" s="152" t="s">
        <v>167</v>
      </c>
      <c r="D148" s="152"/>
      <c r="E148" s="153">
        <v>5198.0219999999999</v>
      </c>
      <c r="F148" s="153">
        <v>5203.0219999999999</v>
      </c>
    </row>
    <row r="149" spans="1:6" ht="15.75" x14ac:dyDescent="0.25">
      <c r="A149" s="151" t="s">
        <v>170</v>
      </c>
      <c r="B149" s="152" t="s">
        <v>145</v>
      </c>
      <c r="C149" s="152" t="s">
        <v>171</v>
      </c>
      <c r="D149" s="152"/>
      <c r="E149" s="153">
        <v>5198.0219999999999</v>
      </c>
      <c r="F149" s="153">
        <v>5203.0219999999999</v>
      </c>
    </row>
    <row r="150" spans="1:6" ht="47.25" x14ac:dyDescent="0.25">
      <c r="A150" s="154" t="s">
        <v>29</v>
      </c>
      <c r="B150" s="155" t="s">
        <v>145</v>
      </c>
      <c r="C150" s="155" t="s">
        <v>171</v>
      </c>
      <c r="D150" s="155" t="s">
        <v>30</v>
      </c>
      <c r="E150" s="156">
        <v>4770.0219999999999</v>
      </c>
      <c r="F150" s="156">
        <v>4770.0219999999999</v>
      </c>
    </row>
    <row r="151" spans="1:6" ht="31.5" x14ac:dyDescent="0.25">
      <c r="A151" s="154" t="s">
        <v>33</v>
      </c>
      <c r="B151" s="155" t="s">
        <v>145</v>
      </c>
      <c r="C151" s="155" t="s">
        <v>171</v>
      </c>
      <c r="D151" s="155" t="s">
        <v>7</v>
      </c>
      <c r="E151" s="156">
        <v>282</v>
      </c>
      <c r="F151" s="156">
        <v>287</v>
      </c>
    </row>
    <row r="152" spans="1:6" ht="15.75" x14ac:dyDescent="0.25">
      <c r="A152" s="154" t="s">
        <v>43</v>
      </c>
      <c r="B152" s="155" t="s">
        <v>145</v>
      </c>
      <c r="C152" s="155" t="s">
        <v>171</v>
      </c>
      <c r="D152" s="155" t="s">
        <v>44</v>
      </c>
      <c r="E152" s="156">
        <v>146</v>
      </c>
      <c r="F152" s="156">
        <v>146</v>
      </c>
    </row>
    <row r="153" spans="1:6" ht="31.5" x14ac:dyDescent="0.25">
      <c r="A153" s="157" t="s">
        <v>422</v>
      </c>
      <c r="B153" s="158" t="s">
        <v>423</v>
      </c>
      <c r="C153" s="158"/>
      <c r="D153" s="158"/>
      <c r="E153" s="159">
        <v>409206.42800000001</v>
      </c>
      <c r="F153" s="159">
        <v>411250.62800000003</v>
      </c>
    </row>
    <row r="154" spans="1:6" ht="31.5" x14ac:dyDescent="0.25">
      <c r="A154" s="151" t="s">
        <v>172</v>
      </c>
      <c r="B154" s="152" t="s">
        <v>423</v>
      </c>
      <c r="C154" s="152" t="s">
        <v>424</v>
      </c>
      <c r="D154" s="152"/>
      <c r="E154" s="153">
        <v>406623.12800000003</v>
      </c>
      <c r="F154" s="153">
        <v>408822.32799999998</v>
      </c>
    </row>
    <row r="155" spans="1:6" ht="31.5" x14ac:dyDescent="0.25">
      <c r="A155" s="151" t="s">
        <v>173</v>
      </c>
      <c r="B155" s="152" t="s">
        <v>423</v>
      </c>
      <c r="C155" s="152" t="s">
        <v>425</v>
      </c>
      <c r="D155" s="152"/>
      <c r="E155" s="153">
        <v>144300.74799999999</v>
      </c>
      <c r="F155" s="153">
        <v>145611.74799999999</v>
      </c>
    </row>
    <row r="156" spans="1:6" ht="31.5" x14ac:dyDescent="0.25">
      <c r="A156" s="151" t="s">
        <v>174</v>
      </c>
      <c r="B156" s="152" t="s">
        <v>423</v>
      </c>
      <c r="C156" s="152" t="s">
        <v>427</v>
      </c>
      <c r="D156" s="152"/>
      <c r="E156" s="153">
        <v>58862.508000000002</v>
      </c>
      <c r="F156" s="153">
        <v>58862.508000000002</v>
      </c>
    </row>
    <row r="157" spans="1:6" ht="31.5" x14ac:dyDescent="0.25">
      <c r="A157" s="154" t="s">
        <v>105</v>
      </c>
      <c r="B157" s="155" t="s">
        <v>423</v>
      </c>
      <c r="C157" s="155" t="s">
        <v>427</v>
      </c>
      <c r="D157" s="155" t="s">
        <v>106</v>
      </c>
      <c r="E157" s="156">
        <v>58862.508000000002</v>
      </c>
      <c r="F157" s="156">
        <v>58862.508000000002</v>
      </c>
    </row>
    <row r="158" spans="1:6" ht="47.25" x14ac:dyDescent="0.25">
      <c r="A158" s="151" t="s">
        <v>175</v>
      </c>
      <c r="B158" s="152" t="s">
        <v>423</v>
      </c>
      <c r="C158" s="152" t="s">
        <v>428</v>
      </c>
      <c r="D158" s="152"/>
      <c r="E158" s="153">
        <v>82632.740000000005</v>
      </c>
      <c r="F158" s="153">
        <v>83943.74</v>
      </c>
    </row>
    <row r="159" spans="1:6" ht="31.5" x14ac:dyDescent="0.25">
      <c r="A159" s="154" t="s">
        <v>105</v>
      </c>
      <c r="B159" s="155" t="s">
        <v>423</v>
      </c>
      <c r="C159" s="155" t="s">
        <v>428</v>
      </c>
      <c r="D159" s="155" t="s">
        <v>106</v>
      </c>
      <c r="E159" s="156">
        <v>82632.740000000005</v>
      </c>
      <c r="F159" s="156">
        <v>83943.74</v>
      </c>
    </row>
    <row r="160" spans="1:6" ht="63" x14ac:dyDescent="0.25">
      <c r="A160" s="151" t="s">
        <v>176</v>
      </c>
      <c r="B160" s="152" t="s">
        <v>423</v>
      </c>
      <c r="C160" s="152" t="s">
        <v>429</v>
      </c>
      <c r="D160" s="152"/>
      <c r="E160" s="153">
        <v>2805.5</v>
      </c>
      <c r="F160" s="153">
        <v>2805.5</v>
      </c>
    </row>
    <row r="161" spans="1:6" ht="63" x14ac:dyDescent="0.25">
      <c r="A161" s="151" t="s">
        <v>176</v>
      </c>
      <c r="B161" s="152" t="s">
        <v>423</v>
      </c>
      <c r="C161" s="152" t="s">
        <v>430</v>
      </c>
      <c r="D161" s="152"/>
      <c r="E161" s="153">
        <v>2805.5</v>
      </c>
      <c r="F161" s="153">
        <v>2805.5</v>
      </c>
    </row>
    <row r="162" spans="1:6" ht="31.5" x14ac:dyDescent="0.25">
      <c r="A162" s="154" t="s">
        <v>105</v>
      </c>
      <c r="B162" s="155" t="s">
        <v>423</v>
      </c>
      <c r="C162" s="155" t="s">
        <v>430</v>
      </c>
      <c r="D162" s="155" t="s">
        <v>106</v>
      </c>
      <c r="E162" s="156">
        <v>2805.5</v>
      </c>
      <c r="F162" s="156">
        <v>2805.5</v>
      </c>
    </row>
    <row r="163" spans="1:6" ht="31.5" x14ac:dyDescent="0.25">
      <c r="A163" s="151" t="s">
        <v>180</v>
      </c>
      <c r="B163" s="152" t="s">
        <v>423</v>
      </c>
      <c r="C163" s="152" t="s">
        <v>434</v>
      </c>
      <c r="D163" s="152"/>
      <c r="E163" s="153">
        <v>218342.71900000001</v>
      </c>
      <c r="F163" s="153">
        <v>219213.91899999999</v>
      </c>
    </row>
    <row r="164" spans="1:6" ht="31.5" x14ac:dyDescent="0.25">
      <c r="A164" s="151" t="s">
        <v>181</v>
      </c>
      <c r="B164" s="152" t="s">
        <v>423</v>
      </c>
      <c r="C164" s="152" t="s">
        <v>436</v>
      </c>
      <c r="D164" s="152"/>
      <c r="E164" s="153">
        <v>40952.053999999996</v>
      </c>
      <c r="F164" s="153">
        <v>40952.053999999996</v>
      </c>
    </row>
    <row r="165" spans="1:6" ht="31.5" x14ac:dyDescent="0.25">
      <c r="A165" s="154" t="s">
        <v>105</v>
      </c>
      <c r="B165" s="155" t="s">
        <v>423</v>
      </c>
      <c r="C165" s="155" t="s">
        <v>436</v>
      </c>
      <c r="D165" s="155" t="s">
        <v>106</v>
      </c>
      <c r="E165" s="156">
        <v>40952.053999999996</v>
      </c>
      <c r="F165" s="156">
        <v>40952.053999999996</v>
      </c>
    </row>
    <row r="166" spans="1:6" ht="47.25" x14ac:dyDescent="0.25">
      <c r="A166" s="151" t="s">
        <v>175</v>
      </c>
      <c r="B166" s="152" t="s">
        <v>423</v>
      </c>
      <c r="C166" s="152" t="s">
        <v>437</v>
      </c>
      <c r="D166" s="152"/>
      <c r="E166" s="153">
        <v>168580.26</v>
      </c>
      <c r="F166" s="153">
        <v>169451.46</v>
      </c>
    </row>
    <row r="167" spans="1:6" ht="31.5" x14ac:dyDescent="0.25">
      <c r="A167" s="154" t="s">
        <v>105</v>
      </c>
      <c r="B167" s="155" t="s">
        <v>423</v>
      </c>
      <c r="C167" s="155" t="s">
        <v>437</v>
      </c>
      <c r="D167" s="155" t="s">
        <v>106</v>
      </c>
      <c r="E167" s="156">
        <v>168580.26</v>
      </c>
      <c r="F167" s="156">
        <v>169451.46</v>
      </c>
    </row>
    <row r="168" spans="1:6" ht="63" x14ac:dyDescent="0.25">
      <c r="A168" s="151" t="s">
        <v>176</v>
      </c>
      <c r="B168" s="152" t="s">
        <v>423</v>
      </c>
      <c r="C168" s="152" t="s">
        <v>438</v>
      </c>
      <c r="D168" s="152"/>
      <c r="E168" s="153">
        <v>380</v>
      </c>
      <c r="F168" s="153">
        <v>380</v>
      </c>
    </row>
    <row r="169" spans="1:6" ht="63" x14ac:dyDescent="0.25">
      <c r="A169" s="151" t="s">
        <v>176</v>
      </c>
      <c r="B169" s="152" t="s">
        <v>423</v>
      </c>
      <c r="C169" s="152" t="s">
        <v>439</v>
      </c>
      <c r="D169" s="152"/>
      <c r="E169" s="153">
        <v>380</v>
      </c>
      <c r="F169" s="153">
        <v>380</v>
      </c>
    </row>
    <row r="170" spans="1:6" ht="31.5" x14ac:dyDescent="0.25">
      <c r="A170" s="154" t="s">
        <v>105</v>
      </c>
      <c r="B170" s="155" t="s">
        <v>423</v>
      </c>
      <c r="C170" s="155" t="s">
        <v>439</v>
      </c>
      <c r="D170" s="155" t="s">
        <v>106</v>
      </c>
      <c r="E170" s="156">
        <v>380</v>
      </c>
      <c r="F170" s="156">
        <v>380</v>
      </c>
    </row>
    <row r="171" spans="1:6" ht="47.25" x14ac:dyDescent="0.25">
      <c r="A171" s="151" t="s">
        <v>185</v>
      </c>
      <c r="B171" s="152" t="s">
        <v>423</v>
      </c>
      <c r="C171" s="152" t="s">
        <v>444</v>
      </c>
      <c r="D171" s="152"/>
      <c r="E171" s="153">
        <v>8430.4050000000007</v>
      </c>
      <c r="F171" s="153">
        <v>8430.4050000000007</v>
      </c>
    </row>
    <row r="172" spans="1:6" ht="31.5" x14ac:dyDescent="0.25">
      <c r="A172" s="154" t="s">
        <v>105</v>
      </c>
      <c r="B172" s="155" t="s">
        <v>423</v>
      </c>
      <c r="C172" s="155" t="s">
        <v>444</v>
      </c>
      <c r="D172" s="155" t="s">
        <v>106</v>
      </c>
      <c r="E172" s="156">
        <v>8430.4050000000007</v>
      </c>
      <c r="F172" s="156">
        <v>8430.4050000000007</v>
      </c>
    </row>
    <row r="173" spans="1:6" ht="15.75" x14ac:dyDescent="0.25">
      <c r="A173" s="151" t="s">
        <v>187</v>
      </c>
      <c r="B173" s="152" t="s">
        <v>423</v>
      </c>
      <c r="C173" s="152" t="s">
        <v>446</v>
      </c>
      <c r="D173" s="152"/>
      <c r="E173" s="153">
        <v>22213.534</v>
      </c>
      <c r="F173" s="153">
        <v>22213.534</v>
      </c>
    </row>
    <row r="174" spans="1:6" ht="31.5" x14ac:dyDescent="0.25">
      <c r="A174" s="151" t="s">
        <v>174</v>
      </c>
      <c r="B174" s="152" t="s">
        <v>423</v>
      </c>
      <c r="C174" s="152" t="s">
        <v>449</v>
      </c>
      <c r="D174" s="152"/>
      <c r="E174" s="153">
        <v>22213.534</v>
      </c>
      <c r="F174" s="153">
        <v>22213.534</v>
      </c>
    </row>
    <row r="175" spans="1:6" ht="31.5" x14ac:dyDescent="0.25">
      <c r="A175" s="154" t="s">
        <v>105</v>
      </c>
      <c r="B175" s="155" t="s">
        <v>423</v>
      </c>
      <c r="C175" s="155" t="s">
        <v>449</v>
      </c>
      <c r="D175" s="155" t="s">
        <v>106</v>
      </c>
      <c r="E175" s="156">
        <v>22213.534</v>
      </c>
      <c r="F175" s="156">
        <v>22213.534</v>
      </c>
    </row>
    <row r="176" spans="1:6" ht="31.5" x14ac:dyDescent="0.25">
      <c r="A176" s="151" t="s">
        <v>191</v>
      </c>
      <c r="B176" s="152" t="s">
        <v>423</v>
      </c>
      <c r="C176" s="152" t="s">
        <v>453</v>
      </c>
      <c r="D176" s="152"/>
      <c r="E176" s="153">
        <v>1170.5</v>
      </c>
      <c r="F176" s="153">
        <v>1170.5</v>
      </c>
    </row>
    <row r="177" spans="1:6" ht="15.75" x14ac:dyDescent="0.25">
      <c r="A177" s="151" t="s">
        <v>193</v>
      </c>
      <c r="B177" s="152" t="s">
        <v>423</v>
      </c>
      <c r="C177" s="152" t="s">
        <v>455</v>
      </c>
      <c r="D177" s="152"/>
      <c r="E177" s="153">
        <v>1170.5</v>
      </c>
      <c r="F177" s="153">
        <v>1170.5</v>
      </c>
    </row>
    <row r="178" spans="1:6" ht="31.5" x14ac:dyDescent="0.25">
      <c r="A178" s="154" t="s">
        <v>105</v>
      </c>
      <c r="B178" s="155" t="s">
        <v>423</v>
      </c>
      <c r="C178" s="155" t="s">
        <v>455</v>
      </c>
      <c r="D178" s="155" t="s">
        <v>106</v>
      </c>
      <c r="E178" s="156">
        <v>1170.5</v>
      </c>
      <c r="F178" s="156">
        <v>1170.5</v>
      </c>
    </row>
    <row r="179" spans="1:6" ht="31.5" x14ac:dyDescent="0.25">
      <c r="A179" s="151" t="s">
        <v>195</v>
      </c>
      <c r="B179" s="152" t="s">
        <v>423</v>
      </c>
      <c r="C179" s="152" t="s">
        <v>457</v>
      </c>
      <c r="D179" s="152"/>
      <c r="E179" s="153">
        <v>20595.627</v>
      </c>
      <c r="F179" s="153">
        <v>20612.627</v>
      </c>
    </row>
    <row r="180" spans="1:6" ht="31.5" x14ac:dyDescent="0.25">
      <c r="A180" s="151" t="s">
        <v>196</v>
      </c>
      <c r="B180" s="152" t="s">
        <v>423</v>
      </c>
      <c r="C180" s="152" t="s">
        <v>458</v>
      </c>
      <c r="D180" s="152"/>
      <c r="E180" s="153">
        <v>20595.627</v>
      </c>
      <c r="F180" s="153">
        <v>20612.627</v>
      </c>
    </row>
    <row r="181" spans="1:6" ht="47.25" x14ac:dyDescent="0.25">
      <c r="A181" s="154" t="s">
        <v>29</v>
      </c>
      <c r="B181" s="155" t="s">
        <v>423</v>
      </c>
      <c r="C181" s="155" t="s">
        <v>458</v>
      </c>
      <c r="D181" s="155" t="s">
        <v>30</v>
      </c>
      <c r="E181" s="156">
        <v>16616.627</v>
      </c>
      <c r="F181" s="156">
        <v>16636.627</v>
      </c>
    </row>
    <row r="182" spans="1:6" ht="31.5" x14ac:dyDescent="0.25">
      <c r="A182" s="154" t="s">
        <v>33</v>
      </c>
      <c r="B182" s="155" t="s">
        <v>423</v>
      </c>
      <c r="C182" s="155" t="s">
        <v>458</v>
      </c>
      <c r="D182" s="155" t="s">
        <v>7</v>
      </c>
      <c r="E182" s="156">
        <v>3934</v>
      </c>
      <c r="F182" s="156">
        <v>3934</v>
      </c>
    </row>
    <row r="183" spans="1:6" ht="15.75" x14ac:dyDescent="0.25">
      <c r="A183" s="154" t="s">
        <v>43</v>
      </c>
      <c r="B183" s="155" t="s">
        <v>423</v>
      </c>
      <c r="C183" s="155" t="s">
        <v>458</v>
      </c>
      <c r="D183" s="155" t="s">
        <v>44</v>
      </c>
      <c r="E183" s="156">
        <v>45</v>
      </c>
      <c r="F183" s="156">
        <v>42</v>
      </c>
    </row>
    <row r="184" spans="1:6" ht="31.5" x14ac:dyDescent="0.25">
      <c r="A184" s="151" t="s">
        <v>90</v>
      </c>
      <c r="B184" s="152" t="s">
        <v>423</v>
      </c>
      <c r="C184" s="152" t="s">
        <v>340</v>
      </c>
      <c r="D184" s="152"/>
      <c r="E184" s="153">
        <v>2542</v>
      </c>
      <c r="F184" s="153">
        <v>2387</v>
      </c>
    </row>
    <row r="185" spans="1:6" ht="15.75" x14ac:dyDescent="0.25">
      <c r="A185" s="151" t="s">
        <v>197</v>
      </c>
      <c r="B185" s="152" t="s">
        <v>423</v>
      </c>
      <c r="C185" s="152" t="s">
        <v>459</v>
      </c>
      <c r="D185" s="152"/>
      <c r="E185" s="153">
        <v>2387</v>
      </c>
      <c r="F185" s="153">
        <v>2387</v>
      </c>
    </row>
    <row r="186" spans="1:6" ht="63" x14ac:dyDescent="0.25">
      <c r="A186" s="151" t="s">
        <v>198</v>
      </c>
      <c r="B186" s="152" t="s">
        <v>423</v>
      </c>
      <c r="C186" s="152" t="s">
        <v>460</v>
      </c>
      <c r="D186" s="152"/>
      <c r="E186" s="153">
        <v>2387</v>
      </c>
      <c r="F186" s="153">
        <v>2387</v>
      </c>
    </row>
    <row r="187" spans="1:6" ht="15.75" x14ac:dyDescent="0.25">
      <c r="A187" s="154" t="s">
        <v>71</v>
      </c>
      <c r="B187" s="155" t="s">
        <v>423</v>
      </c>
      <c r="C187" s="155" t="s">
        <v>460</v>
      </c>
      <c r="D187" s="155" t="s">
        <v>8</v>
      </c>
      <c r="E187" s="156">
        <v>2387</v>
      </c>
      <c r="F187" s="156">
        <v>2387</v>
      </c>
    </row>
    <row r="188" spans="1:6" ht="15.75" x14ac:dyDescent="0.25">
      <c r="A188" s="151" t="s">
        <v>199</v>
      </c>
      <c r="B188" s="152" t="s">
        <v>423</v>
      </c>
      <c r="C188" s="152" t="s">
        <v>461</v>
      </c>
      <c r="D188" s="152"/>
      <c r="E188" s="153">
        <v>155</v>
      </c>
      <c r="F188" s="153"/>
    </row>
    <row r="189" spans="1:6" ht="15.75" x14ac:dyDescent="0.25">
      <c r="A189" s="151" t="s">
        <v>200</v>
      </c>
      <c r="B189" s="152" t="s">
        <v>423</v>
      </c>
      <c r="C189" s="152" t="s">
        <v>462</v>
      </c>
      <c r="D189" s="152"/>
      <c r="E189" s="153">
        <v>155</v>
      </c>
      <c r="F189" s="153"/>
    </row>
    <row r="190" spans="1:6" ht="31.5" x14ac:dyDescent="0.25">
      <c r="A190" s="154" t="s">
        <v>105</v>
      </c>
      <c r="B190" s="155" t="s">
        <v>423</v>
      </c>
      <c r="C190" s="155" t="s">
        <v>462</v>
      </c>
      <c r="D190" s="155" t="s">
        <v>106</v>
      </c>
      <c r="E190" s="156">
        <v>155</v>
      </c>
      <c r="F190" s="156"/>
    </row>
    <row r="191" spans="1:6" ht="15.75" x14ac:dyDescent="0.25">
      <c r="A191" s="151" t="s">
        <v>23</v>
      </c>
      <c r="B191" s="152" t="s">
        <v>423</v>
      </c>
      <c r="C191" s="152" t="s">
        <v>24</v>
      </c>
      <c r="D191" s="152"/>
      <c r="E191" s="153">
        <v>41.3</v>
      </c>
      <c r="F191" s="153">
        <v>41.3</v>
      </c>
    </row>
    <row r="192" spans="1:6" ht="15.75" x14ac:dyDescent="0.25">
      <c r="A192" s="151" t="s">
        <v>25</v>
      </c>
      <c r="B192" s="152" t="s">
        <v>423</v>
      </c>
      <c r="C192" s="152" t="s">
        <v>26</v>
      </c>
      <c r="D192" s="152"/>
      <c r="E192" s="153">
        <v>41.3</v>
      </c>
      <c r="F192" s="153">
        <v>41.3</v>
      </c>
    </row>
    <row r="193" spans="1:6" ht="63" x14ac:dyDescent="0.25">
      <c r="A193" s="151" t="s">
        <v>415</v>
      </c>
      <c r="B193" s="152" t="s">
        <v>423</v>
      </c>
      <c r="C193" s="152" t="s">
        <v>416</v>
      </c>
      <c r="D193" s="152"/>
      <c r="E193" s="153">
        <v>41.3</v>
      </c>
      <c r="F193" s="153">
        <v>41.3</v>
      </c>
    </row>
    <row r="194" spans="1:6" ht="47.25" x14ac:dyDescent="0.25">
      <c r="A194" s="154" t="s">
        <v>29</v>
      </c>
      <c r="B194" s="155" t="s">
        <v>423</v>
      </c>
      <c r="C194" s="155" t="s">
        <v>416</v>
      </c>
      <c r="D194" s="155" t="s">
        <v>30</v>
      </c>
      <c r="E194" s="156">
        <v>31.126000000000001</v>
      </c>
      <c r="F194" s="156">
        <v>31.126000000000001</v>
      </c>
    </row>
    <row r="195" spans="1:6" ht="31.5" x14ac:dyDescent="0.25">
      <c r="A195" s="154" t="s">
        <v>33</v>
      </c>
      <c r="B195" s="155" t="s">
        <v>423</v>
      </c>
      <c r="C195" s="155" t="s">
        <v>416</v>
      </c>
      <c r="D195" s="155" t="s">
        <v>7</v>
      </c>
      <c r="E195" s="156">
        <v>10.173999999999999</v>
      </c>
      <c r="F195" s="156">
        <v>10.173999999999999</v>
      </c>
    </row>
    <row r="196" spans="1:6" ht="31.5" x14ac:dyDescent="0.25">
      <c r="A196" s="157" t="s">
        <v>203</v>
      </c>
      <c r="B196" s="158" t="s">
        <v>204</v>
      </c>
      <c r="C196" s="158"/>
      <c r="D196" s="158"/>
      <c r="E196" s="159">
        <v>49017.188000000002</v>
      </c>
      <c r="F196" s="159">
        <v>58602.188000000002</v>
      </c>
    </row>
    <row r="197" spans="1:6" ht="31.5" x14ac:dyDescent="0.25">
      <c r="A197" s="151" t="s">
        <v>79</v>
      </c>
      <c r="B197" s="152" t="s">
        <v>204</v>
      </c>
      <c r="C197" s="152" t="s">
        <v>80</v>
      </c>
      <c r="D197" s="152"/>
      <c r="E197" s="153">
        <v>38906.548000000003</v>
      </c>
      <c r="F197" s="153">
        <v>39091.548000000003</v>
      </c>
    </row>
    <row r="198" spans="1:6" ht="15.75" x14ac:dyDescent="0.25">
      <c r="A198" s="151" t="s">
        <v>205</v>
      </c>
      <c r="B198" s="152" t="s">
        <v>204</v>
      </c>
      <c r="C198" s="152" t="s">
        <v>206</v>
      </c>
      <c r="D198" s="152"/>
      <c r="E198" s="153">
        <v>38906.548000000003</v>
      </c>
      <c r="F198" s="153">
        <v>39091.548000000003</v>
      </c>
    </row>
    <row r="199" spans="1:6" ht="31.5" x14ac:dyDescent="0.25">
      <c r="A199" s="151" t="s">
        <v>207</v>
      </c>
      <c r="B199" s="152" t="s">
        <v>204</v>
      </c>
      <c r="C199" s="152" t="s">
        <v>208</v>
      </c>
      <c r="D199" s="152"/>
      <c r="E199" s="153">
        <v>580.6</v>
      </c>
      <c r="F199" s="153">
        <v>568.6</v>
      </c>
    </row>
    <row r="200" spans="1:6" ht="31.5" x14ac:dyDescent="0.25">
      <c r="A200" s="151" t="s">
        <v>207</v>
      </c>
      <c r="B200" s="152" t="s">
        <v>204</v>
      </c>
      <c r="C200" s="152" t="s">
        <v>209</v>
      </c>
      <c r="D200" s="152"/>
      <c r="E200" s="153">
        <v>580.6</v>
      </c>
      <c r="F200" s="153">
        <v>568.6</v>
      </c>
    </row>
    <row r="201" spans="1:6" ht="15.75" x14ac:dyDescent="0.25">
      <c r="A201" s="154" t="s">
        <v>46</v>
      </c>
      <c r="B201" s="155" t="s">
        <v>204</v>
      </c>
      <c r="C201" s="155" t="s">
        <v>209</v>
      </c>
      <c r="D201" s="155" t="s">
        <v>47</v>
      </c>
      <c r="E201" s="156">
        <v>580.6</v>
      </c>
      <c r="F201" s="156">
        <v>568.6</v>
      </c>
    </row>
    <row r="202" spans="1:6" ht="15.75" x14ac:dyDescent="0.25">
      <c r="A202" s="151" t="s">
        <v>210</v>
      </c>
      <c r="B202" s="152" t="s">
        <v>204</v>
      </c>
      <c r="C202" s="152" t="s">
        <v>211</v>
      </c>
      <c r="D202" s="152"/>
      <c r="E202" s="153">
        <v>23964</v>
      </c>
      <c r="F202" s="153">
        <v>23959</v>
      </c>
    </row>
    <row r="203" spans="1:6" ht="15.75" x14ac:dyDescent="0.25">
      <c r="A203" s="154" t="s">
        <v>46</v>
      </c>
      <c r="B203" s="155" t="s">
        <v>204</v>
      </c>
      <c r="C203" s="155" t="s">
        <v>211</v>
      </c>
      <c r="D203" s="155" t="s">
        <v>47</v>
      </c>
      <c r="E203" s="156">
        <v>23964</v>
      </c>
      <c r="F203" s="156">
        <v>23959</v>
      </c>
    </row>
    <row r="204" spans="1:6" ht="15.75" x14ac:dyDescent="0.25">
      <c r="A204" s="151" t="s">
        <v>212</v>
      </c>
      <c r="B204" s="152" t="s">
        <v>204</v>
      </c>
      <c r="C204" s="152" t="s">
        <v>213</v>
      </c>
      <c r="D204" s="152"/>
      <c r="E204" s="153">
        <v>11757.948</v>
      </c>
      <c r="F204" s="153">
        <v>11717.948</v>
      </c>
    </row>
    <row r="205" spans="1:6" ht="47.25" x14ac:dyDescent="0.25">
      <c r="A205" s="154" t="s">
        <v>29</v>
      </c>
      <c r="B205" s="155" t="s">
        <v>204</v>
      </c>
      <c r="C205" s="155" t="s">
        <v>213</v>
      </c>
      <c r="D205" s="155" t="s">
        <v>30</v>
      </c>
      <c r="E205" s="156">
        <v>11145.362999999999</v>
      </c>
      <c r="F205" s="156">
        <v>11145.362999999999</v>
      </c>
    </row>
    <row r="206" spans="1:6" ht="31.5" x14ac:dyDescent="0.25">
      <c r="A206" s="154" t="s">
        <v>33</v>
      </c>
      <c r="B206" s="155" t="s">
        <v>204</v>
      </c>
      <c r="C206" s="155" t="s">
        <v>213</v>
      </c>
      <c r="D206" s="155" t="s">
        <v>7</v>
      </c>
      <c r="E206" s="156">
        <v>591.34199999999998</v>
      </c>
      <c r="F206" s="156">
        <v>551.34199999999998</v>
      </c>
    </row>
    <row r="207" spans="1:6" ht="15.75" x14ac:dyDescent="0.25">
      <c r="A207" s="154" t="s">
        <v>43</v>
      </c>
      <c r="B207" s="155" t="s">
        <v>204</v>
      </c>
      <c r="C207" s="155" t="s">
        <v>213</v>
      </c>
      <c r="D207" s="155" t="s">
        <v>44</v>
      </c>
      <c r="E207" s="156">
        <v>2.23</v>
      </c>
      <c r="F207" s="156">
        <v>2.23</v>
      </c>
    </row>
    <row r="208" spans="1:6" ht="31.5" x14ac:dyDescent="0.25">
      <c r="A208" s="151" t="s">
        <v>31</v>
      </c>
      <c r="B208" s="152" t="s">
        <v>204</v>
      </c>
      <c r="C208" s="152" t="s">
        <v>214</v>
      </c>
      <c r="D208" s="152"/>
      <c r="E208" s="153">
        <v>19.013000000000002</v>
      </c>
      <c r="F208" s="153">
        <v>19.013000000000002</v>
      </c>
    </row>
    <row r="209" spans="1:6" ht="31.5" x14ac:dyDescent="0.25">
      <c r="A209" s="154" t="s">
        <v>33</v>
      </c>
      <c r="B209" s="155" t="s">
        <v>204</v>
      </c>
      <c r="C209" s="155" t="s">
        <v>214</v>
      </c>
      <c r="D209" s="155" t="s">
        <v>7</v>
      </c>
      <c r="E209" s="156">
        <v>19.013000000000002</v>
      </c>
      <c r="F209" s="156">
        <v>19.013000000000002</v>
      </c>
    </row>
    <row r="210" spans="1:6" ht="31.5" x14ac:dyDescent="0.25">
      <c r="A210" s="151" t="s">
        <v>215</v>
      </c>
      <c r="B210" s="152" t="s">
        <v>204</v>
      </c>
      <c r="C210" s="152" t="s">
        <v>216</v>
      </c>
      <c r="D210" s="152"/>
      <c r="E210" s="153">
        <v>2604</v>
      </c>
      <c r="F210" s="153">
        <v>2846</v>
      </c>
    </row>
    <row r="211" spans="1:6" ht="15.75" x14ac:dyDescent="0.25">
      <c r="A211" s="154" t="s">
        <v>46</v>
      </c>
      <c r="B211" s="155" t="s">
        <v>204</v>
      </c>
      <c r="C211" s="155" t="s">
        <v>216</v>
      </c>
      <c r="D211" s="155" t="s">
        <v>47</v>
      </c>
      <c r="E211" s="156">
        <v>2604</v>
      </c>
      <c r="F211" s="156">
        <v>2846</v>
      </c>
    </row>
    <row r="212" spans="1:6" ht="15.75" x14ac:dyDescent="0.25">
      <c r="A212" s="151" t="s">
        <v>23</v>
      </c>
      <c r="B212" s="152" t="s">
        <v>204</v>
      </c>
      <c r="C212" s="152" t="s">
        <v>24</v>
      </c>
      <c r="D212" s="152"/>
      <c r="E212" s="153">
        <v>10110.64</v>
      </c>
      <c r="F212" s="153">
        <v>19510.64</v>
      </c>
    </row>
    <row r="213" spans="1:6" ht="15.75" x14ac:dyDescent="0.25">
      <c r="A213" s="151" t="s">
        <v>25</v>
      </c>
      <c r="B213" s="152" t="s">
        <v>204</v>
      </c>
      <c r="C213" s="152" t="s">
        <v>26</v>
      </c>
      <c r="D213" s="152"/>
      <c r="E213" s="153">
        <v>10110.64</v>
      </c>
      <c r="F213" s="153">
        <v>19510.64</v>
      </c>
    </row>
    <row r="214" spans="1:6" ht="31.5" x14ac:dyDescent="0.25">
      <c r="A214" s="151" t="s">
        <v>217</v>
      </c>
      <c r="B214" s="152" t="s">
        <v>204</v>
      </c>
      <c r="C214" s="152" t="s">
        <v>218</v>
      </c>
      <c r="D214" s="152"/>
      <c r="E214" s="153">
        <v>1281.9000000000001</v>
      </c>
      <c r="F214" s="153">
        <v>1281.9000000000001</v>
      </c>
    </row>
    <row r="215" spans="1:6" ht="15.75" x14ac:dyDescent="0.25">
      <c r="A215" s="154" t="s">
        <v>46</v>
      </c>
      <c r="B215" s="155" t="s">
        <v>204</v>
      </c>
      <c r="C215" s="155" t="s">
        <v>218</v>
      </c>
      <c r="D215" s="155" t="s">
        <v>47</v>
      </c>
      <c r="E215" s="156">
        <v>1281.9000000000001</v>
      </c>
      <c r="F215" s="156">
        <v>1281.9000000000001</v>
      </c>
    </row>
    <row r="216" spans="1:6" ht="31.5" x14ac:dyDescent="0.25">
      <c r="A216" s="151" t="s">
        <v>219</v>
      </c>
      <c r="B216" s="152" t="s">
        <v>204</v>
      </c>
      <c r="C216" s="152" t="s">
        <v>220</v>
      </c>
      <c r="D216" s="152"/>
      <c r="E216" s="153">
        <v>50.7</v>
      </c>
      <c r="F216" s="153">
        <v>50.7</v>
      </c>
    </row>
    <row r="217" spans="1:6" ht="15.75" x14ac:dyDescent="0.25">
      <c r="A217" s="154" t="s">
        <v>46</v>
      </c>
      <c r="B217" s="155" t="s">
        <v>204</v>
      </c>
      <c r="C217" s="155" t="s">
        <v>220</v>
      </c>
      <c r="D217" s="155" t="s">
        <v>47</v>
      </c>
      <c r="E217" s="156">
        <v>50.7</v>
      </c>
      <c r="F217" s="156">
        <v>50.7</v>
      </c>
    </row>
    <row r="218" spans="1:6" ht="78.75" x14ac:dyDescent="0.25">
      <c r="A218" s="160" t="s">
        <v>221</v>
      </c>
      <c r="B218" s="152" t="s">
        <v>204</v>
      </c>
      <c r="C218" s="152" t="s">
        <v>222</v>
      </c>
      <c r="D218" s="152"/>
      <c r="E218" s="153">
        <v>2.5</v>
      </c>
      <c r="F218" s="153">
        <v>2.5</v>
      </c>
    </row>
    <row r="219" spans="1:6" ht="31.5" x14ac:dyDescent="0.25">
      <c r="A219" s="154" t="s">
        <v>33</v>
      </c>
      <c r="B219" s="155" t="s">
        <v>204</v>
      </c>
      <c r="C219" s="155" t="s">
        <v>222</v>
      </c>
      <c r="D219" s="155" t="s">
        <v>7</v>
      </c>
      <c r="E219" s="156">
        <v>2.5</v>
      </c>
      <c r="F219" s="156">
        <v>2.5</v>
      </c>
    </row>
    <row r="220" spans="1:6" ht="141.75" x14ac:dyDescent="0.25">
      <c r="A220" s="160" t="s">
        <v>223</v>
      </c>
      <c r="B220" s="152" t="s">
        <v>204</v>
      </c>
      <c r="C220" s="152" t="s">
        <v>224</v>
      </c>
      <c r="D220" s="152"/>
      <c r="E220" s="153">
        <v>4</v>
      </c>
      <c r="F220" s="153">
        <v>4</v>
      </c>
    </row>
    <row r="221" spans="1:6" ht="31.5" x14ac:dyDescent="0.25">
      <c r="A221" s="154" t="s">
        <v>33</v>
      </c>
      <c r="B221" s="155" t="s">
        <v>204</v>
      </c>
      <c r="C221" s="155" t="s">
        <v>224</v>
      </c>
      <c r="D221" s="155" t="s">
        <v>7</v>
      </c>
      <c r="E221" s="156">
        <v>4</v>
      </c>
      <c r="F221" s="156">
        <v>4</v>
      </c>
    </row>
    <row r="222" spans="1:6" ht="94.5" x14ac:dyDescent="0.25">
      <c r="A222" s="160" t="s">
        <v>111</v>
      </c>
      <c r="B222" s="152" t="s">
        <v>204</v>
      </c>
      <c r="C222" s="152" t="s">
        <v>112</v>
      </c>
      <c r="D222" s="152"/>
      <c r="E222" s="153">
        <v>162.54</v>
      </c>
      <c r="F222" s="153">
        <v>162.54</v>
      </c>
    </row>
    <row r="223" spans="1:6" ht="15.75" x14ac:dyDescent="0.25">
      <c r="A223" s="154" t="s">
        <v>46</v>
      </c>
      <c r="B223" s="155" t="s">
        <v>204</v>
      </c>
      <c r="C223" s="155" t="s">
        <v>112</v>
      </c>
      <c r="D223" s="155" t="s">
        <v>47</v>
      </c>
      <c r="E223" s="156">
        <v>162.54</v>
      </c>
      <c r="F223" s="156">
        <v>162.54</v>
      </c>
    </row>
    <row r="224" spans="1:6" ht="94.5" x14ac:dyDescent="0.25">
      <c r="A224" s="160" t="s">
        <v>225</v>
      </c>
      <c r="B224" s="152" t="s">
        <v>204</v>
      </c>
      <c r="C224" s="152" t="s">
        <v>226</v>
      </c>
      <c r="D224" s="152"/>
      <c r="E224" s="153">
        <v>9</v>
      </c>
      <c r="F224" s="153">
        <v>9</v>
      </c>
    </row>
    <row r="225" spans="1:6" ht="31.5" x14ac:dyDescent="0.25">
      <c r="A225" s="154" t="s">
        <v>33</v>
      </c>
      <c r="B225" s="155" t="s">
        <v>204</v>
      </c>
      <c r="C225" s="155" t="s">
        <v>226</v>
      </c>
      <c r="D225" s="155" t="s">
        <v>7</v>
      </c>
      <c r="E225" s="156">
        <v>9</v>
      </c>
      <c r="F225" s="156">
        <v>9</v>
      </c>
    </row>
    <row r="226" spans="1:6" ht="15.75" x14ac:dyDescent="0.25">
      <c r="A226" s="151" t="s">
        <v>508</v>
      </c>
      <c r="B226" s="152" t="s">
        <v>204</v>
      </c>
      <c r="C226" s="152" t="s">
        <v>509</v>
      </c>
      <c r="D226" s="152"/>
      <c r="E226" s="153">
        <v>8600</v>
      </c>
      <c r="F226" s="153">
        <v>18000</v>
      </c>
    </row>
    <row r="227" spans="1:6" ht="15.75" x14ac:dyDescent="0.25">
      <c r="A227" s="154" t="s">
        <v>510</v>
      </c>
      <c r="B227" s="155" t="s">
        <v>204</v>
      </c>
      <c r="C227" s="155" t="s">
        <v>509</v>
      </c>
      <c r="D227" s="155" t="s">
        <v>6</v>
      </c>
      <c r="E227" s="156">
        <v>8600</v>
      </c>
      <c r="F227" s="156">
        <v>18000</v>
      </c>
    </row>
    <row r="228" spans="1:6" ht="15.75" x14ac:dyDescent="0.25">
      <c r="A228" s="161" t="s">
        <v>508</v>
      </c>
      <c r="B228" s="136" t="s">
        <v>204</v>
      </c>
      <c r="C228" s="136" t="s">
        <v>509</v>
      </c>
      <c r="D228" s="136"/>
      <c r="E228" s="162">
        <v>8600</v>
      </c>
      <c r="F228" s="162">
        <v>18000</v>
      </c>
    </row>
    <row r="229" spans="1:6" ht="15.75" x14ac:dyDescent="0.25">
      <c r="A229" s="163" t="s">
        <v>510</v>
      </c>
      <c r="B229" s="164" t="s">
        <v>204</v>
      </c>
      <c r="C229" s="164" t="s">
        <v>509</v>
      </c>
      <c r="D229" s="164" t="s">
        <v>6</v>
      </c>
      <c r="E229" s="165">
        <v>8600</v>
      </c>
      <c r="F229" s="165">
        <v>18000</v>
      </c>
    </row>
  </sheetData>
  <mergeCells count="9">
    <mergeCell ref="A4:F4"/>
    <mergeCell ref="A12:F12"/>
    <mergeCell ref="E14:F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02"/>
  <sheetViews>
    <sheetView view="pageBreakPreview" zoomScale="60" zoomScaleNormal="100" workbookViewId="0">
      <selection activeCell="B28" sqref="B28"/>
    </sheetView>
  </sheetViews>
  <sheetFormatPr defaultRowHeight="15" x14ac:dyDescent="0.25"/>
  <cols>
    <col min="1" max="1" width="85.28515625" customWidth="1"/>
    <col min="2" max="2" width="16.7109375" customWidth="1"/>
    <col min="3" max="3" width="9.5703125" customWidth="1"/>
    <col min="4" max="4" width="19.28515625" customWidth="1"/>
    <col min="5" max="5" width="21" customWidth="1"/>
  </cols>
  <sheetData>
    <row r="1" spans="1:5" ht="18.75" x14ac:dyDescent="0.3">
      <c r="E1" s="139" t="s">
        <v>287</v>
      </c>
    </row>
    <row r="2" spans="1:5" ht="18.75" x14ac:dyDescent="0.3">
      <c r="E2" s="139" t="s">
        <v>14</v>
      </c>
    </row>
    <row r="3" spans="1:5" ht="18.75" x14ac:dyDescent="0.3">
      <c r="E3" s="139" t="s">
        <v>228</v>
      </c>
    </row>
    <row r="4" spans="1:5" ht="18.75" x14ac:dyDescent="0.3">
      <c r="A4" s="258" t="str">
        <f>'Прил 1 (Доходы)'!A4:C4</f>
        <v>от 28 ноября 2019 г. № 36</v>
      </c>
      <c r="B4" s="258"/>
      <c r="C4" s="258"/>
      <c r="D4" s="258"/>
      <c r="E4" s="258"/>
    </row>
    <row r="7" spans="1:5" s="140" customFormat="1" ht="18.75" x14ac:dyDescent="0.3">
      <c r="C7" s="139"/>
      <c r="D7" s="139"/>
      <c r="E7" s="139" t="s">
        <v>266</v>
      </c>
    </row>
    <row r="8" spans="1:5" s="140" customFormat="1" ht="18.75" x14ac:dyDescent="0.3">
      <c r="C8" s="139"/>
      <c r="D8" s="139"/>
      <c r="E8" s="139" t="s">
        <v>14</v>
      </c>
    </row>
    <row r="9" spans="1:5" s="140" customFormat="1" ht="18.75" x14ac:dyDescent="0.3">
      <c r="C9" s="139"/>
      <c r="D9" s="139"/>
      <c r="E9" s="139" t="s">
        <v>228</v>
      </c>
    </row>
    <row r="10" spans="1:5" s="140" customFormat="1" ht="18.75" x14ac:dyDescent="0.3">
      <c r="C10" s="139"/>
      <c r="D10" s="139"/>
      <c r="E10" s="139" t="s">
        <v>230</v>
      </c>
    </row>
    <row r="11" spans="1:5" ht="15.75" x14ac:dyDescent="0.25">
      <c r="A11" s="141"/>
      <c r="B11" s="141"/>
      <c r="C11" s="141"/>
      <c r="D11" s="141"/>
      <c r="E11" s="129"/>
    </row>
    <row r="12" spans="1:5" ht="18.75" x14ac:dyDescent="0.25">
      <c r="A12" s="264" t="s">
        <v>511</v>
      </c>
      <c r="B12" s="264"/>
      <c r="C12" s="264"/>
      <c r="D12" s="264"/>
      <c r="E12" s="264"/>
    </row>
    <row r="14" spans="1:5" ht="18.75" x14ac:dyDescent="0.25">
      <c r="A14" s="142"/>
      <c r="B14" s="142"/>
      <c r="C14" s="142"/>
      <c r="D14" s="142"/>
      <c r="E14" s="142" t="s">
        <v>15</v>
      </c>
    </row>
    <row r="15" spans="1:5" x14ac:dyDescent="0.25">
      <c r="A15" s="262" t="s">
        <v>16</v>
      </c>
      <c r="B15" s="262" t="s">
        <v>18</v>
      </c>
      <c r="C15" s="262" t="s">
        <v>19</v>
      </c>
      <c r="D15" s="265" t="s">
        <v>505</v>
      </c>
      <c r="E15" s="262" t="s">
        <v>506</v>
      </c>
    </row>
    <row r="16" spans="1:5" x14ac:dyDescent="0.25">
      <c r="A16" s="262"/>
      <c r="B16" s="262" t="s">
        <v>512</v>
      </c>
      <c r="C16" s="262" t="s">
        <v>513</v>
      </c>
      <c r="D16" s="266"/>
      <c r="E16" s="262" t="s">
        <v>5</v>
      </c>
    </row>
    <row r="17" spans="1:5" s="144" customFormat="1" x14ac:dyDescent="0.25">
      <c r="A17" s="166">
        <v>1</v>
      </c>
      <c r="B17" s="166">
        <v>2</v>
      </c>
      <c r="C17" s="166">
        <v>3</v>
      </c>
      <c r="D17" s="166">
        <v>4</v>
      </c>
      <c r="E17" s="166">
        <v>5</v>
      </c>
    </row>
    <row r="18" spans="1:5" ht="16.5" x14ac:dyDescent="0.25">
      <c r="A18" s="263" t="s">
        <v>293</v>
      </c>
      <c r="B18" s="263"/>
      <c r="C18" s="167"/>
      <c r="D18" s="168">
        <f>14250.1+616451.675</f>
        <v>630701.77500000002</v>
      </c>
      <c r="E18" s="168">
        <v>628127.13500000001</v>
      </c>
    </row>
    <row r="19" spans="1:5" ht="16.5" x14ac:dyDescent="0.25">
      <c r="A19" s="169" t="s">
        <v>40</v>
      </c>
      <c r="B19" s="170" t="s">
        <v>514</v>
      </c>
      <c r="C19" s="170"/>
      <c r="D19" s="171">
        <v>200</v>
      </c>
      <c r="E19" s="171">
        <v>200</v>
      </c>
    </row>
    <row r="20" spans="1:5" s="175" customFormat="1" ht="33" x14ac:dyDescent="0.25">
      <c r="A20" s="172" t="s">
        <v>50</v>
      </c>
      <c r="B20" s="173" t="s">
        <v>515</v>
      </c>
      <c r="C20" s="173"/>
      <c r="D20" s="174">
        <v>200</v>
      </c>
      <c r="E20" s="174">
        <v>200</v>
      </c>
    </row>
    <row r="21" spans="1:5" s="175" customFormat="1" ht="49.5" x14ac:dyDescent="0.25">
      <c r="A21" s="172" t="s">
        <v>361</v>
      </c>
      <c r="B21" s="173" t="s">
        <v>516</v>
      </c>
      <c r="C21" s="173" t="s">
        <v>517</v>
      </c>
      <c r="D21" s="174">
        <v>200</v>
      </c>
      <c r="E21" s="174">
        <v>200</v>
      </c>
    </row>
    <row r="22" spans="1:5" ht="33" x14ac:dyDescent="0.25">
      <c r="A22" s="169" t="s">
        <v>52</v>
      </c>
      <c r="B22" s="170" t="s">
        <v>518</v>
      </c>
      <c r="C22" s="170"/>
      <c r="D22" s="171">
        <f>D23</f>
        <v>24112.084999999999</v>
      </c>
      <c r="E22" s="171">
        <v>9871.8459999999995</v>
      </c>
    </row>
    <row r="23" spans="1:5" s="175" customFormat="1" ht="33" x14ac:dyDescent="0.25">
      <c r="A23" s="172" t="s">
        <v>54</v>
      </c>
      <c r="B23" s="173" t="s">
        <v>519</v>
      </c>
      <c r="C23" s="173"/>
      <c r="D23" s="174">
        <f>D24+D29+D26+D32</f>
        <v>24112.084999999999</v>
      </c>
      <c r="E23" s="174">
        <v>9871.8459999999995</v>
      </c>
    </row>
    <row r="24" spans="1:5" s="175" customFormat="1" ht="16.5" x14ac:dyDescent="0.25">
      <c r="A24" s="172" t="s">
        <v>294</v>
      </c>
      <c r="B24" s="173" t="s">
        <v>520</v>
      </c>
      <c r="C24" s="173"/>
      <c r="D24" s="174">
        <f>D25</f>
        <v>9652.9090000000015</v>
      </c>
      <c r="E24" s="174">
        <v>9729.7209999999995</v>
      </c>
    </row>
    <row r="25" spans="1:5" s="175" customFormat="1" ht="16.5" x14ac:dyDescent="0.25">
      <c r="A25" s="172" t="s">
        <v>294</v>
      </c>
      <c r="B25" s="173" t="s">
        <v>520</v>
      </c>
      <c r="C25" s="173" t="s">
        <v>7</v>
      </c>
      <c r="D25" s="174">
        <f>9719.86-66.951</f>
        <v>9652.9090000000015</v>
      </c>
      <c r="E25" s="174">
        <v>9729.7209999999995</v>
      </c>
    </row>
    <row r="26" spans="1:5" s="175" customFormat="1" ht="16.5" x14ac:dyDescent="0.25">
      <c r="A26" s="172" t="s">
        <v>56</v>
      </c>
      <c r="B26" s="173" t="s">
        <v>521</v>
      </c>
      <c r="C26" s="173"/>
      <c r="D26" s="174">
        <f>D27+D28</f>
        <v>8947.2649999999976</v>
      </c>
      <c r="E26" s="174">
        <v>119.7</v>
      </c>
    </row>
    <row r="27" spans="1:5" s="175" customFormat="1" ht="16.5" x14ac:dyDescent="0.25">
      <c r="A27" s="172" t="s">
        <v>56</v>
      </c>
      <c r="B27" s="173" t="s">
        <v>521</v>
      </c>
      <c r="C27" s="173" t="s">
        <v>7</v>
      </c>
      <c r="D27" s="174">
        <f>8827.3+0.265+88.9</f>
        <v>8916.4649999999983</v>
      </c>
      <c r="E27" s="174">
        <v>88.9</v>
      </c>
    </row>
    <row r="28" spans="1:5" s="175" customFormat="1" ht="16.5" x14ac:dyDescent="0.25">
      <c r="A28" s="172" t="s">
        <v>56</v>
      </c>
      <c r="B28" s="173" t="s">
        <v>521</v>
      </c>
      <c r="C28" s="173" t="s">
        <v>47</v>
      </c>
      <c r="D28" s="174">
        <v>30.8</v>
      </c>
      <c r="E28" s="174">
        <v>30.8</v>
      </c>
    </row>
    <row r="29" spans="1:5" s="175" customFormat="1" ht="16.5" x14ac:dyDescent="0.25">
      <c r="A29" s="172" t="s">
        <v>59</v>
      </c>
      <c r="B29" s="173" t="s">
        <v>627</v>
      </c>
      <c r="C29" s="173"/>
      <c r="D29" s="174">
        <f>D31+D30</f>
        <v>511.911</v>
      </c>
      <c r="E29" s="174">
        <v>22.425000000000001</v>
      </c>
    </row>
    <row r="30" spans="1:5" s="175" customFormat="1" ht="16.5" x14ac:dyDescent="0.25">
      <c r="A30" s="172" t="s">
        <v>59</v>
      </c>
      <c r="B30" s="173" t="s">
        <v>627</v>
      </c>
      <c r="C30" s="173" t="s">
        <v>7</v>
      </c>
      <c r="D30" s="174">
        <v>66.855999999999995</v>
      </c>
      <c r="E30" s="174"/>
    </row>
    <row r="31" spans="1:5" ht="16.5" x14ac:dyDescent="0.25">
      <c r="A31" s="172" t="s">
        <v>59</v>
      </c>
      <c r="B31" s="173" t="s">
        <v>522</v>
      </c>
      <c r="C31" s="173" t="s">
        <v>7</v>
      </c>
      <c r="D31" s="174">
        <f>422.8-0.17+22.425</f>
        <v>445.05500000000001</v>
      </c>
      <c r="E31" s="174">
        <v>22.425000000000001</v>
      </c>
    </row>
    <row r="32" spans="1:5" ht="23.25" customHeight="1" x14ac:dyDescent="0.25">
      <c r="A32" s="172" t="s">
        <v>62</v>
      </c>
      <c r="B32" s="173" t="s">
        <v>912</v>
      </c>
      <c r="C32" s="173"/>
      <c r="D32" s="174">
        <f>D33</f>
        <v>5000</v>
      </c>
      <c r="E32" s="174"/>
    </row>
    <row r="33" spans="1:5" ht="19.5" customHeight="1" x14ac:dyDescent="0.25">
      <c r="A33" s="172" t="s">
        <v>62</v>
      </c>
      <c r="B33" s="173" t="s">
        <v>912</v>
      </c>
      <c r="C33" s="173" t="s">
        <v>7</v>
      </c>
      <c r="D33" s="174">
        <v>5000</v>
      </c>
      <c r="E33" s="174"/>
    </row>
    <row r="34" spans="1:5" s="175" customFormat="1" ht="33" x14ac:dyDescent="0.25">
      <c r="A34" s="169" t="s">
        <v>67</v>
      </c>
      <c r="B34" s="170" t="s">
        <v>523</v>
      </c>
      <c r="C34" s="170"/>
      <c r="D34" s="171">
        <v>11490.003000000001</v>
      </c>
      <c r="E34" s="171">
        <v>11498.803</v>
      </c>
    </row>
    <row r="35" spans="1:5" s="175" customFormat="1" ht="33" x14ac:dyDescent="0.25">
      <c r="A35" s="172" t="s">
        <v>69</v>
      </c>
      <c r="B35" s="173" t="s">
        <v>524</v>
      </c>
      <c r="C35" s="173"/>
      <c r="D35" s="174">
        <v>11105.1</v>
      </c>
      <c r="E35" s="174">
        <v>11105.1</v>
      </c>
    </row>
    <row r="36" spans="1:5" s="175" customFormat="1" ht="66" x14ac:dyDescent="0.25">
      <c r="A36" s="172" t="s">
        <v>146</v>
      </c>
      <c r="B36" s="173" t="s">
        <v>525</v>
      </c>
      <c r="C36" s="173"/>
      <c r="D36" s="174">
        <v>1000</v>
      </c>
      <c r="E36" s="174">
        <v>1000</v>
      </c>
    </row>
    <row r="37" spans="1:5" s="175" customFormat="1" ht="66" x14ac:dyDescent="0.25">
      <c r="A37" s="172" t="s">
        <v>146</v>
      </c>
      <c r="B37" s="173" t="s">
        <v>525</v>
      </c>
      <c r="C37" s="173" t="s">
        <v>7</v>
      </c>
      <c r="D37" s="174">
        <v>1000</v>
      </c>
      <c r="E37" s="174">
        <v>1000</v>
      </c>
    </row>
    <row r="38" spans="1:5" s="175" customFormat="1" ht="16.5" x14ac:dyDescent="0.25">
      <c r="A38" s="172" t="s">
        <v>148</v>
      </c>
      <c r="B38" s="173" t="s">
        <v>526</v>
      </c>
      <c r="C38" s="173"/>
      <c r="D38" s="174">
        <v>100</v>
      </c>
      <c r="E38" s="174">
        <v>100</v>
      </c>
    </row>
    <row r="39" spans="1:5" s="175" customFormat="1" ht="16.5" x14ac:dyDescent="0.25">
      <c r="A39" s="172" t="s">
        <v>148</v>
      </c>
      <c r="B39" s="173" t="s">
        <v>526</v>
      </c>
      <c r="C39" s="173" t="s">
        <v>7</v>
      </c>
      <c r="D39" s="174">
        <v>100</v>
      </c>
      <c r="E39" s="174">
        <v>100</v>
      </c>
    </row>
    <row r="40" spans="1:5" s="175" customFormat="1" ht="33" x14ac:dyDescent="0.25">
      <c r="A40" s="172" t="s">
        <v>377</v>
      </c>
      <c r="B40" s="173" t="s">
        <v>527</v>
      </c>
      <c r="C40" s="173"/>
      <c r="D40" s="174">
        <v>834.5</v>
      </c>
      <c r="E40" s="174">
        <v>834.5</v>
      </c>
    </row>
    <row r="41" spans="1:5" s="175" customFormat="1" ht="33" x14ac:dyDescent="0.25">
      <c r="A41" s="172" t="s">
        <v>377</v>
      </c>
      <c r="B41" s="173" t="s">
        <v>527</v>
      </c>
      <c r="C41" s="173" t="s">
        <v>8</v>
      </c>
      <c r="D41" s="174">
        <v>834.5</v>
      </c>
      <c r="E41" s="174">
        <v>834.5</v>
      </c>
    </row>
    <row r="42" spans="1:5" s="175" customFormat="1" ht="49.5" x14ac:dyDescent="0.25">
      <c r="A42" s="172" t="s">
        <v>379</v>
      </c>
      <c r="B42" s="173" t="s">
        <v>528</v>
      </c>
      <c r="C42" s="173"/>
      <c r="D42" s="174">
        <v>834.5</v>
      </c>
      <c r="E42" s="174">
        <v>834.5</v>
      </c>
    </row>
    <row r="43" spans="1:5" s="175" customFormat="1" ht="49.5" x14ac:dyDescent="0.25">
      <c r="A43" s="172" t="s">
        <v>379</v>
      </c>
      <c r="B43" s="173" t="s">
        <v>528</v>
      </c>
      <c r="C43" s="173" t="s">
        <v>8</v>
      </c>
      <c r="D43" s="174">
        <v>834.5</v>
      </c>
      <c r="E43" s="174">
        <v>834.5</v>
      </c>
    </row>
    <row r="44" spans="1:5" s="175" customFormat="1" ht="66" x14ac:dyDescent="0.25">
      <c r="A44" s="172" t="s">
        <v>150</v>
      </c>
      <c r="B44" s="173" t="s">
        <v>529</v>
      </c>
      <c r="C44" s="173"/>
      <c r="D44" s="174">
        <v>8336.1</v>
      </c>
      <c r="E44" s="174">
        <v>8336.1</v>
      </c>
    </row>
    <row r="45" spans="1:5" s="175" customFormat="1" ht="99" x14ac:dyDescent="0.25">
      <c r="A45" s="176" t="s">
        <v>152</v>
      </c>
      <c r="B45" s="173" t="s">
        <v>530</v>
      </c>
      <c r="C45" s="173"/>
      <c r="D45" s="174">
        <v>334.5</v>
      </c>
      <c r="E45" s="174">
        <v>334.5</v>
      </c>
    </row>
    <row r="46" spans="1:5" s="175" customFormat="1" ht="99" x14ac:dyDescent="0.25">
      <c r="A46" s="176" t="s">
        <v>152</v>
      </c>
      <c r="B46" s="173" t="s">
        <v>530</v>
      </c>
      <c r="C46" s="173" t="s">
        <v>10</v>
      </c>
      <c r="D46" s="174">
        <v>334.5</v>
      </c>
      <c r="E46" s="174">
        <v>334.5</v>
      </c>
    </row>
    <row r="47" spans="1:5" ht="99" x14ac:dyDescent="0.25">
      <c r="A47" s="176" t="s">
        <v>152</v>
      </c>
      <c r="B47" s="173" t="s">
        <v>531</v>
      </c>
      <c r="C47" s="173"/>
      <c r="D47" s="174">
        <v>8001.6</v>
      </c>
      <c r="E47" s="174">
        <v>8001.6</v>
      </c>
    </row>
    <row r="48" spans="1:5" s="175" customFormat="1" ht="99" x14ac:dyDescent="0.25">
      <c r="A48" s="176" t="s">
        <v>152</v>
      </c>
      <c r="B48" s="173" t="s">
        <v>531</v>
      </c>
      <c r="C48" s="173" t="s">
        <v>10</v>
      </c>
      <c r="D48" s="174">
        <v>8001.6</v>
      </c>
      <c r="E48" s="174">
        <v>8001.6</v>
      </c>
    </row>
    <row r="49" spans="1:5" s="175" customFormat="1" ht="33" x14ac:dyDescent="0.25">
      <c r="A49" s="172" t="s">
        <v>73</v>
      </c>
      <c r="B49" s="173" t="s">
        <v>532</v>
      </c>
      <c r="C49" s="173"/>
      <c r="D49" s="174">
        <v>384.90300000000002</v>
      </c>
      <c r="E49" s="174">
        <v>393.70299999999997</v>
      </c>
    </row>
    <row r="50" spans="1:5" s="175" customFormat="1" ht="16.5" x14ac:dyDescent="0.25">
      <c r="A50" s="172" t="s">
        <v>162</v>
      </c>
      <c r="B50" s="173" t="s">
        <v>533</v>
      </c>
      <c r="C50" s="173"/>
      <c r="D50" s="174">
        <v>384.90300000000002</v>
      </c>
      <c r="E50" s="174">
        <v>393.70299999999997</v>
      </c>
    </row>
    <row r="51" spans="1:5" s="175" customFormat="1" ht="16.5" x14ac:dyDescent="0.25">
      <c r="A51" s="172" t="s">
        <v>162</v>
      </c>
      <c r="B51" s="173" t="s">
        <v>533</v>
      </c>
      <c r="C51" s="173" t="s">
        <v>7</v>
      </c>
      <c r="D51" s="174">
        <v>384.90300000000002</v>
      </c>
      <c r="E51" s="174">
        <v>393.70299999999997</v>
      </c>
    </row>
    <row r="52" spans="1:5" s="175" customFormat="1" ht="33" x14ac:dyDescent="0.25">
      <c r="A52" s="169" t="s">
        <v>172</v>
      </c>
      <c r="B52" s="170" t="s">
        <v>534</v>
      </c>
      <c r="C52" s="170"/>
      <c r="D52" s="171">
        <v>406623.12800000003</v>
      </c>
      <c r="E52" s="171">
        <v>408822.32799999998</v>
      </c>
    </row>
    <row r="53" spans="1:5" s="175" customFormat="1" ht="33" x14ac:dyDescent="0.25">
      <c r="A53" s="172" t="s">
        <v>173</v>
      </c>
      <c r="B53" s="173" t="s">
        <v>535</v>
      </c>
      <c r="C53" s="173"/>
      <c r="D53" s="174">
        <v>144300.74799999999</v>
      </c>
      <c r="E53" s="174">
        <v>145611.74799999999</v>
      </c>
    </row>
    <row r="54" spans="1:5" s="175" customFormat="1" ht="33" x14ac:dyDescent="0.25">
      <c r="A54" s="172" t="s">
        <v>174</v>
      </c>
      <c r="B54" s="173" t="s">
        <v>536</v>
      </c>
      <c r="C54" s="173"/>
      <c r="D54" s="174">
        <v>58862.508000000002</v>
      </c>
      <c r="E54" s="174">
        <v>58862.508000000002</v>
      </c>
    </row>
    <row r="55" spans="1:5" s="175" customFormat="1" ht="33" x14ac:dyDescent="0.25">
      <c r="A55" s="172" t="s">
        <v>174</v>
      </c>
      <c r="B55" s="173" t="s">
        <v>536</v>
      </c>
      <c r="C55" s="173" t="s">
        <v>106</v>
      </c>
      <c r="D55" s="174">
        <f>1972.02+56890.488</f>
        <v>58862.507999999994</v>
      </c>
      <c r="E55" s="174">
        <f>1972.02+56890.488</f>
        <v>58862.507999999994</v>
      </c>
    </row>
    <row r="56" spans="1:5" s="175" customFormat="1" ht="49.5" x14ac:dyDescent="0.25">
      <c r="A56" s="172" t="s">
        <v>175</v>
      </c>
      <c r="B56" s="173" t="s">
        <v>537</v>
      </c>
      <c r="C56" s="173"/>
      <c r="D56" s="174">
        <v>82632.740000000005</v>
      </c>
      <c r="E56" s="174">
        <v>83943.74</v>
      </c>
    </row>
    <row r="57" spans="1:5" s="175" customFormat="1" ht="49.5" x14ac:dyDescent="0.25">
      <c r="A57" s="172" t="s">
        <v>175</v>
      </c>
      <c r="B57" s="173" t="s">
        <v>537</v>
      </c>
      <c r="C57" s="173" t="s">
        <v>106</v>
      </c>
      <c r="D57" s="174">
        <f>5777.205+76855.535</f>
        <v>82632.740000000005</v>
      </c>
      <c r="E57" s="174">
        <f>5777.205+78166.53</f>
        <v>83943.735000000001</v>
      </c>
    </row>
    <row r="58" spans="1:5" s="175" customFormat="1" ht="66" x14ac:dyDescent="0.25">
      <c r="A58" s="172" t="s">
        <v>176</v>
      </c>
      <c r="B58" s="173" t="s">
        <v>538</v>
      </c>
      <c r="C58" s="173"/>
      <c r="D58" s="174">
        <v>2805.5</v>
      </c>
      <c r="E58" s="174">
        <v>2805.5</v>
      </c>
    </row>
    <row r="59" spans="1:5" s="175" customFormat="1" ht="66" x14ac:dyDescent="0.25">
      <c r="A59" s="172" t="s">
        <v>176</v>
      </c>
      <c r="B59" s="173" t="s">
        <v>539</v>
      </c>
      <c r="C59" s="173"/>
      <c r="D59" s="174">
        <v>2805.5</v>
      </c>
      <c r="E59" s="174">
        <v>2805.5</v>
      </c>
    </row>
    <row r="60" spans="1:5" s="175" customFormat="1" ht="66" x14ac:dyDescent="0.25">
      <c r="A60" s="172" t="s">
        <v>176</v>
      </c>
      <c r="B60" s="173" t="s">
        <v>539</v>
      </c>
      <c r="C60" s="173" t="s">
        <v>106</v>
      </c>
      <c r="D60" s="174">
        <f>19+2786.5</f>
        <v>2805.5</v>
      </c>
      <c r="E60" s="174">
        <f>19+2786.5</f>
        <v>2805.5</v>
      </c>
    </row>
    <row r="61" spans="1:5" s="175" customFormat="1" ht="33" x14ac:dyDescent="0.25">
      <c r="A61" s="172" t="s">
        <v>180</v>
      </c>
      <c r="B61" s="173" t="s">
        <v>540</v>
      </c>
      <c r="C61" s="173"/>
      <c r="D61" s="174">
        <v>218342.71900000001</v>
      </c>
      <c r="E61" s="174">
        <v>219213.91899999999</v>
      </c>
    </row>
    <row r="62" spans="1:5" s="175" customFormat="1" ht="33" x14ac:dyDescent="0.25">
      <c r="A62" s="172" t="s">
        <v>181</v>
      </c>
      <c r="B62" s="173" t="s">
        <v>541</v>
      </c>
      <c r="C62" s="173"/>
      <c r="D62" s="174">
        <v>40952.053999999996</v>
      </c>
      <c r="E62" s="174">
        <v>40952.053999999996</v>
      </c>
    </row>
    <row r="63" spans="1:5" s="175" customFormat="1" ht="33" x14ac:dyDescent="0.25">
      <c r="A63" s="172" t="s">
        <v>181</v>
      </c>
      <c r="B63" s="173" t="s">
        <v>541</v>
      </c>
      <c r="C63" s="173" t="s">
        <v>106</v>
      </c>
      <c r="D63" s="174">
        <f>35529.08+5422.974</f>
        <v>40952.054000000004</v>
      </c>
      <c r="E63" s="174">
        <f>35529.08+5422.974</f>
        <v>40952.054000000004</v>
      </c>
    </row>
    <row r="64" spans="1:5" s="175" customFormat="1" ht="49.5" x14ac:dyDescent="0.25">
      <c r="A64" s="172" t="s">
        <v>175</v>
      </c>
      <c r="B64" s="173" t="s">
        <v>542</v>
      </c>
      <c r="C64" s="173"/>
      <c r="D64" s="174">
        <v>168580.26</v>
      </c>
      <c r="E64" s="174">
        <v>169451.46</v>
      </c>
    </row>
    <row r="65" spans="1:5" s="175" customFormat="1" ht="49.5" x14ac:dyDescent="0.25">
      <c r="A65" s="172" t="s">
        <v>175</v>
      </c>
      <c r="B65" s="173" t="s">
        <v>542</v>
      </c>
      <c r="C65" s="173" t="s">
        <v>106</v>
      </c>
      <c r="D65" s="174">
        <f>152253.66+16326.6</f>
        <v>168580.26</v>
      </c>
      <c r="E65" s="174">
        <f>153124.86+16326.6</f>
        <v>169451.46</v>
      </c>
    </row>
    <row r="66" spans="1:5" s="175" customFormat="1" ht="66" x14ac:dyDescent="0.25">
      <c r="A66" s="172" t="s">
        <v>176</v>
      </c>
      <c r="B66" s="173" t="s">
        <v>543</v>
      </c>
      <c r="C66" s="173"/>
      <c r="D66" s="174">
        <v>380</v>
      </c>
      <c r="E66" s="174">
        <v>380</v>
      </c>
    </row>
    <row r="67" spans="1:5" s="175" customFormat="1" ht="66" x14ac:dyDescent="0.25">
      <c r="A67" s="172" t="s">
        <v>176</v>
      </c>
      <c r="B67" s="173" t="s">
        <v>544</v>
      </c>
      <c r="C67" s="173"/>
      <c r="D67" s="174">
        <v>380</v>
      </c>
      <c r="E67" s="174">
        <v>380</v>
      </c>
    </row>
    <row r="68" spans="1:5" s="175" customFormat="1" ht="66" x14ac:dyDescent="0.25">
      <c r="A68" s="172" t="s">
        <v>176</v>
      </c>
      <c r="B68" s="173" t="s">
        <v>544</v>
      </c>
      <c r="C68" s="173" t="s">
        <v>106</v>
      </c>
      <c r="D68" s="174">
        <v>380</v>
      </c>
      <c r="E68" s="174">
        <v>380</v>
      </c>
    </row>
    <row r="69" spans="1:5" s="175" customFormat="1" ht="49.5" x14ac:dyDescent="0.25">
      <c r="A69" s="172" t="s">
        <v>185</v>
      </c>
      <c r="B69" s="173" t="s">
        <v>545</v>
      </c>
      <c r="C69" s="173"/>
      <c r="D69" s="174">
        <v>8430.4050000000007</v>
      </c>
      <c r="E69" s="174">
        <v>8430.4050000000007</v>
      </c>
    </row>
    <row r="70" spans="1:5" s="175" customFormat="1" ht="49.5" x14ac:dyDescent="0.25">
      <c r="A70" s="172" t="s">
        <v>185</v>
      </c>
      <c r="B70" s="173" t="s">
        <v>545</v>
      </c>
      <c r="C70" s="173" t="s">
        <v>106</v>
      </c>
      <c r="D70" s="174">
        <v>8430.4050000000007</v>
      </c>
      <c r="E70" s="174">
        <v>8430.4050000000007</v>
      </c>
    </row>
    <row r="71" spans="1:5" s="175" customFormat="1" ht="16.5" x14ac:dyDescent="0.25">
      <c r="A71" s="172" t="s">
        <v>187</v>
      </c>
      <c r="B71" s="173" t="s">
        <v>546</v>
      </c>
      <c r="C71" s="173"/>
      <c r="D71" s="174">
        <v>22213.534</v>
      </c>
      <c r="E71" s="174">
        <v>22213.534</v>
      </c>
    </row>
    <row r="72" spans="1:5" s="175" customFormat="1" ht="33" x14ac:dyDescent="0.25">
      <c r="A72" s="172" t="s">
        <v>174</v>
      </c>
      <c r="B72" s="173" t="s">
        <v>547</v>
      </c>
      <c r="C72" s="173"/>
      <c r="D72" s="174">
        <v>22213.534</v>
      </c>
      <c r="E72" s="174">
        <v>22213.534</v>
      </c>
    </row>
    <row r="73" spans="1:5" ht="33" x14ac:dyDescent="0.25">
      <c r="A73" s="172" t="s">
        <v>174</v>
      </c>
      <c r="B73" s="173" t="s">
        <v>547</v>
      </c>
      <c r="C73" s="173" t="s">
        <v>106</v>
      </c>
      <c r="D73" s="174">
        <v>22213.534</v>
      </c>
      <c r="E73" s="174">
        <v>22213.534</v>
      </c>
    </row>
    <row r="74" spans="1:5" s="175" customFormat="1" ht="33" x14ac:dyDescent="0.25">
      <c r="A74" s="172" t="s">
        <v>191</v>
      </c>
      <c r="B74" s="173" t="s">
        <v>548</v>
      </c>
      <c r="C74" s="173"/>
      <c r="D74" s="174">
        <v>1170.5</v>
      </c>
      <c r="E74" s="174">
        <v>1170.5</v>
      </c>
    </row>
    <row r="75" spans="1:5" s="175" customFormat="1" ht="16.5" x14ac:dyDescent="0.25">
      <c r="A75" s="172" t="s">
        <v>193</v>
      </c>
      <c r="B75" s="173" t="s">
        <v>549</v>
      </c>
      <c r="C75" s="173"/>
      <c r="D75" s="174">
        <v>1170.5</v>
      </c>
      <c r="E75" s="174">
        <v>1170.5</v>
      </c>
    </row>
    <row r="76" spans="1:5" s="175" customFormat="1" ht="16.5" x14ac:dyDescent="0.25">
      <c r="A76" s="172" t="s">
        <v>193</v>
      </c>
      <c r="B76" s="173" t="s">
        <v>549</v>
      </c>
      <c r="C76" s="173" t="s">
        <v>106</v>
      </c>
      <c r="D76" s="174">
        <v>1170.5</v>
      </c>
      <c r="E76" s="174">
        <v>1170.5</v>
      </c>
    </row>
    <row r="77" spans="1:5" s="175" customFormat="1" ht="33" x14ac:dyDescent="0.25">
      <c r="A77" s="172" t="s">
        <v>195</v>
      </c>
      <c r="B77" s="173" t="s">
        <v>550</v>
      </c>
      <c r="C77" s="173"/>
      <c r="D77" s="174">
        <v>20595.627</v>
      </c>
      <c r="E77" s="174">
        <v>20612.627</v>
      </c>
    </row>
    <row r="78" spans="1:5" s="175" customFormat="1" ht="33" x14ac:dyDescent="0.25">
      <c r="A78" s="172" t="s">
        <v>196</v>
      </c>
      <c r="B78" s="173" t="s">
        <v>551</v>
      </c>
      <c r="C78" s="173"/>
      <c r="D78" s="174">
        <v>20595.627</v>
      </c>
      <c r="E78" s="174">
        <v>20612.627</v>
      </c>
    </row>
    <row r="79" spans="1:5" s="175" customFormat="1" ht="33" x14ac:dyDescent="0.25">
      <c r="A79" s="172" t="s">
        <v>196</v>
      </c>
      <c r="B79" s="173" t="s">
        <v>551</v>
      </c>
      <c r="C79" s="173" t="s">
        <v>30</v>
      </c>
      <c r="D79" s="174">
        <v>16616.627</v>
      </c>
      <c r="E79" s="174">
        <v>16636.627</v>
      </c>
    </row>
    <row r="80" spans="1:5" s="175" customFormat="1" ht="33" x14ac:dyDescent="0.25">
      <c r="A80" s="172" t="s">
        <v>196</v>
      </c>
      <c r="B80" s="173" t="s">
        <v>551</v>
      </c>
      <c r="C80" s="173" t="s">
        <v>7</v>
      </c>
      <c r="D80" s="174">
        <v>3934</v>
      </c>
      <c r="E80" s="174">
        <v>3934</v>
      </c>
    </row>
    <row r="81" spans="1:5" s="175" customFormat="1" ht="33" x14ac:dyDescent="0.25">
      <c r="A81" s="172" t="s">
        <v>196</v>
      </c>
      <c r="B81" s="173" t="s">
        <v>551</v>
      </c>
      <c r="C81" s="173" t="s">
        <v>44</v>
      </c>
      <c r="D81" s="174">
        <v>45</v>
      </c>
      <c r="E81" s="174">
        <v>42</v>
      </c>
    </row>
    <row r="82" spans="1:5" s="175" customFormat="1" ht="33" x14ac:dyDescent="0.25">
      <c r="A82" s="169" t="s">
        <v>114</v>
      </c>
      <c r="B82" s="170" t="s">
        <v>552</v>
      </c>
      <c r="C82" s="170"/>
      <c r="D82" s="171">
        <v>77685.672000000006</v>
      </c>
      <c r="E82" s="171">
        <v>77709.672000000006</v>
      </c>
    </row>
    <row r="83" spans="1:5" s="175" customFormat="1" ht="16.5" x14ac:dyDescent="0.25">
      <c r="A83" s="172" t="s">
        <v>115</v>
      </c>
      <c r="B83" s="173" t="s">
        <v>553</v>
      </c>
      <c r="C83" s="173"/>
      <c r="D83" s="174">
        <v>14257.2</v>
      </c>
      <c r="E83" s="174">
        <v>14257.2</v>
      </c>
    </row>
    <row r="84" spans="1:5" s="175" customFormat="1" ht="16.5" x14ac:dyDescent="0.25">
      <c r="A84" s="172" t="s">
        <v>116</v>
      </c>
      <c r="B84" s="173" t="s">
        <v>554</v>
      </c>
      <c r="C84" s="173"/>
      <c r="D84" s="174">
        <v>14257.2</v>
      </c>
      <c r="E84" s="174">
        <v>14257.2</v>
      </c>
    </row>
    <row r="85" spans="1:5" s="175" customFormat="1" ht="16.5" x14ac:dyDescent="0.25">
      <c r="A85" s="172" t="s">
        <v>116</v>
      </c>
      <c r="B85" s="173" t="s">
        <v>554</v>
      </c>
      <c r="C85" s="173" t="s">
        <v>106</v>
      </c>
      <c r="D85" s="174">
        <v>14257.2</v>
      </c>
      <c r="E85" s="174">
        <v>14257.2</v>
      </c>
    </row>
    <row r="86" spans="1:5" s="175" customFormat="1" ht="16.5" x14ac:dyDescent="0.25">
      <c r="A86" s="172" t="s">
        <v>118</v>
      </c>
      <c r="B86" s="173" t="s">
        <v>555</v>
      </c>
      <c r="C86" s="173"/>
      <c r="D86" s="174">
        <v>14776.003000000001</v>
      </c>
      <c r="E86" s="174">
        <v>14825.003000000001</v>
      </c>
    </row>
    <row r="87" spans="1:5" s="175" customFormat="1" ht="16.5" x14ac:dyDescent="0.25">
      <c r="A87" s="172" t="s">
        <v>120</v>
      </c>
      <c r="B87" s="173" t="s">
        <v>556</v>
      </c>
      <c r="C87" s="173"/>
      <c r="D87" s="174">
        <v>80</v>
      </c>
      <c r="E87" s="174">
        <v>80</v>
      </c>
    </row>
    <row r="88" spans="1:5" s="175" customFormat="1" ht="16.5" x14ac:dyDescent="0.25">
      <c r="A88" s="172" t="s">
        <v>120</v>
      </c>
      <c r="B88" s="173" t="s">
        <v>556</v>
      </c>
      <c r="C88" s="173" t="s">
        <v>106</v>
      </c>
      <c r="D88" s="174">
        <v>80</v>
      </c>
      <c r="E88" s="174">
        <v>80</v>
      </c>
    </row>
    <row r="89" spans="1:5" s="175" customFormat="1" ht="33" x14ac:dyDescent="0.25">
      <c r="A89" s="172" t="s">
        <v>121</v>
      </c>
      <c r="B89" s="173" t="s">
        <v>557</v>
      </c>
      <c r="C89" s="173"/>
      <c r="D89" s="174">
        <v>126</v>
      </c>
      <c r="E89" s="174">
        <v>126</v>
      </c>
    </row>
    <row r="90" spans="1:5" s="175" customFormat="1" ht="33" x14ac:dyDescent="0.25">
      <c r="A90" s="172" t="s">
        <v>121</v>
      </c>
      <c r="B90" s="173" t="s">
        <v>557</v>
      </c>
      <c r="C90" s="173" t="s">
        <v>106</v>
      </c>
      <c r="D90" s="174">
        <v>126</v>
      </c>
      <c r="E90" s="174">
        <v>126</v>
      </c>
    </row>
    <row r="91" spans="1:5" s="175" customFormat="1" ht="16.5" x14ac:dyDescent="0.25">
      <c r="A91" s="172" t="s">
        <v>122</v>
      </c>
      <c r="B91" s="173" t="s">
        <v>558</v>
      </c>
      <c r="C91" s="173"/>
      <c r="D91" s="174">
        <v>14570.003000000001</v>
      </c>
      <c r="E91" s="174">
        <v>14619.003000000001</v>
      </c>
    </row>
    <row r="92" spans="1:5" s="175" customFormat="1" ht="16.5" x14ac:dyDescent="0.25">
      <c r="A92" s="172" t="s">
        <v>122</v>
      </c>
      <c r="B92" s="173" t="s">
        <v>558</v>
      </c>
      <c r="C92" s="173" t="s">
        <v>106</v>
      </c>
      <c r="D92" s="174">
        <v>14570.003000000001</v>
      </c>
      <c r="E92" s="174">
        <v>14619.003000000001</v>
      </c>
    </row>
    <row r="93" spans="1:5" s="175" customFormat="1" ht="16.5" x14ac:dyDescent="0.25">
      <c r="A93" s="172" t="s">
        <v>125</v>
      </c>
      <c r="B93" s="173" t="s">
        <v>559</v>
      </c>
      <c r="C93" s="173"/>
      <c r="D93" s="174">
        <v>2307.2359999999999</v>
      </c>
      <c r="E93" s="174">
        <v>2307.2359999999999</v>
      </c>
    </row>
    <row r="94" spans="1:5" s="175" customFormat="1" ht="16.5" x14ac:dyDescent="0.25">
      <c r="A94" s="172" t="s">
        <v>122</v>
      </c>
      <c r="B94" s="173" t="s">
        <v>560</v>
      </c>
      <c r="C94" s="173"/>
      <c r="D94" s="174">
        <v>2307.2359999999999</v>
      </c>
      <c r="E94" s="174">
        <v>2307.2359999999999</v>
      </c>
    </row>
    <row r="95" spans="1:5" s="175" customFormat="1" ht="16.5" x14ac:dyDescent="0.25">
      <c r="A95" s="172" t="s">
        <v>122</v>
      </c>
      <c r="B95" s="173" t="s">
        <v>560</v>
      </c>
      <c r="C95" s="173" t="s">
        <v>106</v>
      </c>
      <c r="D95" s="174">
        <v>2307.2359999999999</v>
      </c>
      <c r="E95" s="174">
        <v>2307.2359999999999</v>
      </c>
    </row>
    <row r="96" spans="1:5" s="175" customFormat="1" ht="33" x14ac:dyDescent="0.25">
      <c r="A96" s="172" t="s">
        <v>126</v>
      </c>
      <c r="B96" s="173" t="s">
        <v>561</v>
      </c>
      <c r="C96" s="173"/>
      <c r="D96" s="174">
        <v>22217.671999999999</v>
      </c>
      <c r="E96" s="174">
        <v>22217.671999999999</v>
      </c>
    </row>
    <row r="97" spans="1:5" s="175" customFormat="1" ht="16.5" x14ac:dyDescent="0.25">
      <c r="A97" s="172" t="s">
        <v>127</v>
      </c>
      <c r="B97" s="173" t="s">
        <v>562</v>
      </c>
      <c r="C97" s="173"/>
      <c r="D97" s="174">
        <v>21817.671999999999</v>
      </c>
      <c r="E97" s="174">
        <v>21817.671999999999</v>
      </c>
    </row>
    <row r="98" spans="1:5" s="175" customFormat="1" ht="16.5" x14ac:dyDescent="0.25">
      <c r="A98" s="172" t="s">
        <v>127</v>
      </c>
      <c r="B98" s="173" t="s">
        <v>562</v>
      </c>
      <c r="C98" s="173" t="s">
        <v>106</v>
      </c>
      <c r="D98" s="174">
        <v>21817.671999999999</v>
      </c>
      <c r="E98" s="174">
        <v>21817.671999999999</v>
      </c>
    </row>
    <row r="99" spans="1:5" s="175" customFormat="1" ht="16.5" x14ac:dyDescent="0.25">
      <c r="A99" s="172" t="s">
        <v>128</v>
      </c>
      <c r="B99" s="173" t="s">
        <v>563</v>
      </c>
      <c r="C99" s="173"/>
      <c r="D99" s="174">
        <v>400</v>
      </c>
      <c r="E99" s="174">
        <v>400</v>
      </c>
    </row>
    <row r="100" spans="1:5" s="175" customFormat="1" ht="16.5" x14ac:dyDescent="0.25">
      <c r="A100" s="172" t="s">
        <v>128</v>
      </c>
      <c r="B100" s="173" t="s">
        <v>563</v>
      </c>
      <c r="C100" s="173" t="s">
        <v>106</v>
      </c>
      <c r="D100" s="174">
        <v>400</v>
      </c>
      <c r="E100" s="174">
        <v>400</v>
      </c>
    </row>
    <row r="101" spans="1:5" s="175" customFormat="1" ht="16.5" x14ac:dyDescent="0.25">
      <c r="A101" s="172" t="s">
        <v>131</v>
      </c>
      <c r="B101" s="173" t="s">
        <v>564</v>
      </c>
      <c r="C101" s="173"/>
      <c r="D101" s="174">
        <v>4979.2719999999999</v>
      </c>
      <c r="E101" s="174">
        <v>4954.2719999999999</v>
      </c>
    </row>
    <row r="102" spans="1:5" ht="16.5" x14ac:dyDescent="0.25">
      <c r="A102" s="172" t="s">
        <v>132</v>
      </c>
      <c r="B102" s="173" t="s">
        <v>565</v>
      </c>
      <c r="C102" s="173"/>
      <c r="D102" s="174">
        <v>4979.2719999999999</v>
      </c>
      <c r="E102" s="174">
        <v>4954.2719999999999</v>
      </c>
    </row>
    <row r="103" spans="1:5" s="175" customFormat="1" ht="16.5" x14ac:dyDescent="0.25">
      <c r="A103" s="172" t="s">
        <v>132</v>
      </c>
      <c r="B103" s="173" t="s">
        <v>565</v>
      </c>
      <c r="C103" s="173" t="s">
        <v>30</v>
      </c>
      <c r="D103" s="174">
        <v>4457.2719999999999</v>
      </c>
      <c r="E103" s="174">
        <v>4437.2719999999999</v>
      </c>
    </row>
    <row r="104" spans="1:5" s="175" customFormat="1" ht="16.5" x14ac:dyDescent="0.25">
      <c r="A104" s="172" t="s">
        <v>132</v>
      </c>
      <c r="B104" s="173" t="s">
        <v>565</v>
      </c>
      <c r="C104" s="173" t="s">
        <v>7</v>
      </c>
      <c r="D104" s="174">
        <v>522</v>
      </c>
      <c r="E104" s="174">
        <v>517</v>
      </c>
    </row>
    <row r="105" spans="1:5" s="175" customFormat="1" ht="16.5" x14ac:dyDescent="0.25">
      <c r="A105" s="172" t="s">
        <v>133</v>
      </c>
      <c r="B105" s="173" t="s">
        <v>566</v>
      </c>
      <c r="C105" s="173"/>
      <c r="D105" s="174">
        <v>17120.455000000002</v>
      </c>
      <c r="E105" s="174">
        <v>17120.455000000002</v>
      </c>
    </row>
    <row r="106" spans="1:5" s="175" customFormat="1" ht="16.5" x14ac:dyDescent="0.25">
      <c r="A106" s="172" t="s">
        <v>134</v>
      </c>
      <c r="B106" s="173" t="s">
        <v>567</v>
      </c>
      <c r="C106" s="173"/>
      <c r="D106" s="174">
        <v>17120.455000000002</v>
      </c>
      <c r="E106" s="174">
        <v>17120.455000000002</v>
      </c>
    </row>
    <row r="107" spans="1:5" s="175" customFormat="1" ht="16.5" x14ac:dyDescent="0.25">
      <c r="A107" s="172" t="s">
        <v>134</v>
      </c>
      <c r="B107" s="173" t="s">
        <v>567</v>
      </c>
      <c r="C107" s="173" t="s">
        <v>106</v>
      </c>
      <c r="D107" s="174">
        <v>17120.455000000002</v>
      </c>
      <c r="E107" s="174">
        <v>17120.455000000002</v>
      </c>
    </row>
    <row r="108" spans="1:5" s="175" customFormat="1" ht="16.5" x14ac:dyDescent="0.25">
      <c r="A108" s="172" t="s">
        <v>135</v>
      </c>
      <c r="B108" s="173" t="s">
        <v>568</v>
      </c>
      <c r="C108" s="173"/>
      <c r="D108" s="174">
        <v>2027.8340000000001</v>
      </c>
      <c r="E108" s="174">
        <v>2027.8340000000001</v>
      </c>
    </row>
    <row r="109" spans="1:5" s="175" customFormat="1" ht="16.5" x14ac:dyDescent="0.25">
      <c r="A109" s="172" t="s">
        <v>136</v>
      </c>
      <c r="B109" s="173" t="s">
        <v>569</v>
      </c>
      <c r="C109" s="173"/>
      <c r="D109" s="174">
        <v>2027.8340000000001</v>
      </c>
      <c r="E109" s="174">
        <v>2027.8340000000001</v>
      </c>
    </row>
    <row r="110" spans="1:5" s="175" customFormat="1" ht="16.5" x14ac:dyDescent="0.25">
      <c r="A110" s="172" t="s">
        <v>136</v>
      </c>
      <c r="B110" s="173" t="s">
        <v>569</v>
      </c>
      <c r="C110" s="173" t="s">
        <v>106</v>
      </c>
      <c r="D110" s="174">
        <v>2027.8340000000001</v>
      </c>
      <c r="E110" s="174">
        <v>2027.8340000000001</v>
      </c>
    </row>
    <row r="111" spans="1:5" s="175" customFormat="1" ht="33" x14ac:dyDescent="0.25">
      <c r="A111" s="172" t="s">
        <v>137</v>
      </c>
      <c r="B111" s="173" t="s">
        <v>570</v>
      </c>
      <c r="C111" s="173"/>
      <c r="D111" s="174">
        <v>8670.4639999999999</v>
      </c>
      <c r="E111" s="174">
        <v>8660.4639999999999</v>
      </c>
    </row>
    <row r="112" spans="1:5" ht="16.5" x14ac:dyDescent="0.25">
      <c r="A112" s="172" t="s">
        <v>138</v>
      </c>
      <c r="B112" s="173" t="s">
        <v>571</v>
      </c>
      <c r="C112" s="173"/>
      <c r="D112" s="174">
        <v>250</v>
      </c>
      <c r="E112" s="174">
        <v>250</v>
      </c>
    </row>
    <row r="113" spans="1:5" s="175" customFormat="1" ht="49.5" x14ac:dyDescent="0.25">
      <c r="A113" s="172" t="s">
        <v>139</v>
      </c>
      <c r="B113" s="173" t="s">
        <v>572</v>
      </c>
      <c r="C113" s="173"/>
      <c r="D113" s="174">
        <v>250</v>
      </c>
      <c r="E113" s="174">
        <v>250</v>
      </c>
    </row>
    <row r="114" spans="1:5" s="175" customFormat="1" ht="49.5" x14ac:dyDescent="0.25">
      <c r="A114" s="172" t="s">
        <v>139</v>
      </c>
      <c r="B114" s="173" t="s">
        <v>572</v>
      </c>
      <c r="C114" s="173" t="s">
        <v>106</v>
      </c>
      <c r="D114" s="174">
        <v>250</v>
      </c>
      <c r="E114" s="174">
        <v>250</v>
      </c>
    </row>
    <row r="115" spans="1:5" s="175" customFormat="1" ht="16.5" x14ac:dyDescent="0.25">
      <c r="A115" s="172" t="s">
        <v>140</v>
      </c>
      <c r="B115" s="173" t="s">
        <v>573</v>
      </c>
      <c r="C115" s="173"/>
      <c r="D115" s="174">
        <v>550</v>
      </c>
      <c r="E115" s="174">
        <v>550</v>
      </c>
    </row>
    <row r="116" spans="1:5" s="175" customFormat="1" ht="33" x14ac:dyDescent="0.25">
      <c r="A116" s="172" t="s">
        <v>141</v>
      </c>
      <c r="B116" s="173" t="s">
        <v>574</v>
      </c>
      <c r="C116" s="173"/>
      <c r="D116" s="174">
        <v>550</v>
      </c>
      <c r="E116" s="174">
        <v>550</v>
      </c>
    </row>
    <row r="117" spans="1:5" s="175" customFormat="1" ht="33" x14ac:dyDescent="0.25">
      <c r="A117" s="172" t="s">
        <v>141</v>
      </c>
      <c r="B117" s="173" t="s">
        <v>574</v>
      </c>
      <c r="C117" s="173" t="s">
        <v>106</v>
      </c>
      <c r="D117" s="174">
        <v>550</v>
      </c>
      <c r="E117" s="174">
        <v>550</v>
      </c>
    </row>
    <row r="118" spans="1:5" s="175" customFormat="1" ht="16.5" x14ac:dyDescent="0.25">
      <c r="A118" s="172" t="s">
        <v>142</v>
      </c>
      <c r="B118" s="173" t="s">
        <v>575</v>
      </c>
      <c r="C118" s="173"/>
      <c r="D118" s="174">
        <v>7870.4639999999999</v>
      </c>
      <c r="E118" s="174">
        <v>7860.4639999999999</v>
      </c>
    </row>
    <row r="119" spans="1:5" s="175" customFormat="1" ht="16.5" x14ac:dyDescent="0.25">
      <c r="A119" s="172" t="s">
        <v>143</v>
      </c>
      <c r="B119" s="173" t="s">
        <v>576</v>
      </c>
      <c r="C119" s="173"/>
      <c r="D119" s="174">
        <v>7870.4639999999999</v>
      </c>
      <c r="E119" s="174">
        <v>7860.4639999999999</v>
      </c>
    </row>
    <row r="120" spans="1:5" s="175" customFormat="1" ht="16.5" x14ac:dyDescent="0.25">
      <c r="A120" s="172" t="s">
        <v>143</v>
      </c>
      <c r="B120" s="173" t="s">
        <v>576</v>
      </c>
      <c r="C120" s="173" t="s">
        <v>106</v>
      </c>
      <c r="D120" s="174">
        <v>7870.4639999999999</v>
      </c>
      <c r="E120" s="174">
        <v>7860.4639999999999</v>
      </c>
    </row>
    <row r="121" spans="1:5" s="175" customFormat="1" ht="33" x14ac:dyDescent="0.25">
      <c r="A121" s="169" t="s">
        <v>79</v>
      </c>
      <c r="B121" s="170" t="s">
        <v>577</v>
      </c>
      <c r="C121" s="170"/>
      <c r="D121" s="171">
        <v>78928.964000000007</v>
      </c>
      <c r="E121" s="171">
        <v>79136.964000000007</v>
      </c>
    </row>
    <row r="122" spans="1:5" s="175" customFormat="1" ht="33" x14ac:dyDescent="0.25">
      <c r="A122" s="172" t="s">
        <v>86</v>
      </c>
      <c r="B122" s="173" t="s">
        <v>578</v>
      </c>
      <c r="C122" s="173"/>
      <c r="D122" s="174">
        <v>20</v>
      </c>
      <c r="E122" s="174">
        <v>20</v>
      </c>
    </row>
    <row r="123" spans="1:5" s="175" customFormat="1" ht="33" x14ac:dyDescent="0.25">
      <c r="A123" s="172" t="s">
        <v>87</v>
      </c>
      <c r="B123" s="173" t="s">
        <v>579</v>
      </c>
      <c r="C123" s="173"/>
      <c r="D123" s="174">
        <v>20</v>
      </c>
      <c r="E123" s="174">
        <v>20</v>
      </c>
    </row>
    <row r="124" spans="1:5" s="175" customFormat="1" ht="33" x14ac:dyDescent="0.25">
      <c r="A124" s="172" t="s">
        <v>87</v>
      </c>
      <c r="B124" s="173" t="s">
        <v>579</v>
      </c>
      <c r="C124" s="173" t="s">
        <v>7</v>
      </c>
      <c r="D124" s="174">
        <v>20</v>
      </c>
      <c r="E124" s="174">
        <v>20</v>
      </c>
    </row>
    <row r="125" spans="1:5" s="175" customFormat="1" ht="33" x14ac:dyDescent="0.25">
      <c r="A125" s="172" t="s">
        <v>166</v>
      </c>
      <c r="B125" s="173" t="s">
        <v>580</v>
      </c>
      <c r="C125" s="173"/>
      <c r="D125" s="174">
        <v>5198.0219999999999</v>
      </c>
      <c r="E125" s="174">
        <v>5203.0219999999999</v>
      </c>
    </row>
    <row r="126" spans="1:5" s="175" customFormat="1" ht="16.5" x14ac:dyDescent="0.25">
      <c r="A126" s="172" t="s">
        <v>170</v>
      </c>
      <c r="B126" s="173" t="s">
        <v>581</v>
      </c>
      <c r="C126" s="173"/>
      <c r="D126" s="174">
        <v>5198.0219999999999</v>
      </c>
      <c r="E126" s="174">
        <v>5203.0219999999999</v>
      </c>
    </row>
    <row r="127" spans="1:5" s="175" customFormat="1" ht="16.5" x14ac:dyDescent="0.25">
      <c r="A127" s="172" t="s">
        <v>170</v>
      </c>
      <c r="B127" s="173" t="s">
        <v>581</v>
      </c>
      <c r="C127" s="173" t="s">
        <v>30</v>
      </c>
      <c r="D127" s="174">
        <v>4770.0219999999999</v>
      </c>
      <c r="E127" s="174">
        <v>4770.0219999999999</v>
      </c>
    </row>
    <row r="128" spans="1:5" s="175" customFormat="1" ht="16.5" x14ac:dyDescent="0.25">
      <c r="A128" s="172" t="s">
        <v>170</v>
      </c>
      <c r="B128" s="173" t="s">
        <v>581</v>
      </c>
      <c r="C128" s="173" t="s">
        <v>7</v>
      </c>
      <c r="D128" s="174">
        <v>282</v>
      </c>
      <c r="E128" s="174">
        <v>287</v>
      </c>
    </row>
    <row r="129" spans="1:5" s="175" customFormat="1" ht="16.5" x14ac:dyDescent="0.25">
      <c r="A129" s="172" t="s">
        <v>170</v>
      </c>
      <c r="B129" s="173" t="s">
        <v>581</v>
      </c>
      <c r="C129" s="173" t="s">
        <v>44</v>
      </c>
      <c r="D129" s="174">
        <v>146</v>
      </c>
      <c r="E129" s="174">
        <v>146</v>
      </c>
    </row>
    <row r="130" spans="1:5" s="175" customFormat="1" ht="16.5" x14ac:dyDescent="0.25">
      <c r="A130" s="172" t="s">
        <v>205</v>
      </c>
      <c r="B130" s="173" t="s">
        <v>582</v>
      </c>
      <c r="C130" s="173"/>
      <c r="D130" s="174">
        <v>38906.548000000003</v>
      </c>
      <c r="E130" s="174">
        <v>39091.548000000003</v>
      </c>
    </row>
    <row r="131" spans="1:5" s="175" customFormat="1" ht="33" x14ac:dyDescent="0.25">
      <c r="A131" s="172" t="s">
        <v>207</v>
      </c>
      <c r="B131" s="173" t="s">
        <v>583</v>
      </c>
      <c r="C131" s="173"/>
      <c r="D131" s="174">
        <v>580.6</v>
      </c>
      <c r="E131" s="174">
        <v>568.6</v>
      </c>
    </row>
    <row r="132" spans="1:5" s="175" customFormat="1" ht="33" x14ac:dyDescent="0.25">
      <c r="A132" s="172" t="s">
        <v>207</v>
      </c>
      <c r="B132" s="173" t="s">
        <v>584</v>
      </c>
      <c r="C132" s="173"/>
      <c r="D132" s="174">
        <v>580.6</v>
      </c>
      <c r="E132" s="174">
        <v>568.6</v>
      </c>
    </row>
    <row r="133" spans="1:5" s="175" customFormat="1" ht="33" x14ac:dyDescent="0.25">
      <c r="A133" s="172" t="s">
        <v>207</v>
      </c>
      <c r="B133" s="173" t="s">
        <v>584</v>
      </c>
      <c r="C133" s="173" t="s">
        <v>47</v>
      </c>
      <c r="D133" s="174">
        <v>580.6</v>
      </c>
      <c r="E133" s="174">
        <v>568.6</v>
      </c>
    </row>
    <row r="134" spans="1:5" s="175" customFormat="1" ht="16.5" x14ac:dyDescent="0.25">
      <c r="A134" s="172" t="s">
        <v>210</v>
      </c>
      <c r="B134" s="173" t="s">
        <v>585</v>
      </c>
      <c r="C134" s="173"/>
      <c r="D134" s="174">
        <v>23964</v>
      </c>
      <c r="E134" s="174">
        <v>23959</v>
      </c>
    </row>
    <row r="135" spans="1:5" s="175" customFormat="1" ht="16.5" x14ac:dyDescent="0.25">
      <c r="A135" s="172" t="s">
        <v>210</v>
      </c>
      <c r="B135" s="173" t="s">
        <v>585</v>
      </c>
      <c r="C135" s="173" t="s">
        <v>47</v>
      </c>
      <c r="D135" s="174">
        <v>23964</v>
      </c>
      <c r="E135" s="174">
        <v>23959</v>
      </c>
    </row>
    <row r="136" spans="1:5" s="175" customFormat="1" ht="16.5" x14ac:dyDescent="0.25">
      <c r="A136" s="172" t="s">
        <v>212</v>
      </c>
      <c r="B136" s="173" t="s">
        <v>586</v>
      </c>
      <c r="C136" s="173"/>
      <c r="D136" s="174">
        <v>11757.948</v>
      </c>
      <c r="E136" s="174">
        <v>11717.948</v>
      </c>
    </row>
    <row r="137" spans="1:5" s="175" customFormat="1" ht="16.5" x14ac:dyDescent="0.25">
      <c r="A137" s="172" t="s">
        <v>212</v>
      </c>
      <c r="B137" s="173" t="s">
        <v>586</v>
      </c>
      <c r="C137" s="173"/>
      <c r="D137" s="174">
        <v>11738.934999999999</v>
      </c>
      <c r="E137" s="174">
        <v>11698.934999999999</v>
      </c>
    </row>
    <row r="138" spans="1:5" ht="16.5" x14ac:dyDescent="0.25">
      <c r="A138" s="172" t="s">
        <v>212</v>
      </c>
      <c r="B138" s="173" t="s">
        <v>586</v>
      </c>
      <c r="C138" s="173" t="s">
        <v>30</v>
      </c>
      <c r="D138" s="174">
        <v>11145.362999999999</v>
      </c>
      <c r="E138" s="174">
        <v>11145.36</v>
      </c>
    </row>
    <row r="139" spans="1:5" s="175" customFormat="1" ht="16.5" x14ac:dyDescent="0.25">
      <c r="A139" s="172" t="s">
        <v>212</v>
      </c>
      <c r="B139" s="173" t="s">
        <v>586</v>
      </c>
      <c r="C139" s="173" t="s">
        <v>7</v>
      </c>
      <c r="D139" s="174">
        <v>591.34199999999998</v>
      </c>
      <c r="E139" s="174">
        <v>551.34199999999998</v>
      </c>
    </row>
    <row r="140" spans="1:5" s="175" customFormat="1" ht="16.5" x14ac:dyDescent="0.25">
      <c r="A140" s="172" t="s">
        <v>212</v>
      </c>
      <c r="B140" s="173" t="s">
        <v>586</v>
      </c>
      <c r="C140" s="173" t="s">
        <v>44</v>
      </c>
      <c r="D140" s="174">
        <v>2.23</v>
      </c>
      <c r="E140" s="174">
        <v>2.23</v>
      </c>
    </row>
    <row r="141" spans="1:5" s="175" customFormat="1" ht="33" x14ac:dyDescent="0.25">
      <c r="A141" s="172" t="s">
        <v>31</v>
      </c>
      <c r="B141" s="173" t="s">
        <v>587</v>
      </c>
      <c r="C141" s="173"/>
      <c r="D141" s="174">
        <v>19.013000000000002</v>
      </c>
      <c r="E141" s="174">
        <v>19.013000000000002</v>
      </c>
    </row>
    <row r="142" spans="1:5" s="175" customFormat="1" ht="33" x14ac:dyDescent="0.25">
      <c r="A142" s="172" t="s">
        <v>31</v>
      </c>
      <c r="B142" s="173" t="s">
        <v>587</v>
      </c>
      <c r="C142" s="173" t="s">
        <v>7</v>
      </c>
      <c r="D142" s="174">
        <v>19.013000000000002</v>
      </c>
      <c r="E142" s="174">
        <v>19.013000000000002</v>
      </c>
    </row>
    <row r="143" spans="1:5" s="175" customFormat="1" ht="33" x14ac:dyDescent="0.25">
      <c r="A143" s="172" t="s">
        <v>215</v>
      </c>
      <c r="B143" s="173" t="s">
        <v>588</v>
      </c>
      <c r="C143" s="173"/>
      <c r="D143" s="174">
        <v>2604</v>
      </c>
      <c r="E143" s="174">
        <v>2846</v>
      </c>
    </row>
    <row r="144" spans="1:5" s="175" customFormat="1" ht="33" x14ac:dyDescent="0.25">
      <c r="A144" s="172" t="s">
        <v>215</v>
      </c>
      <c r="B144" s="173" t="s">
        <v>588</v>
      </c>
      <c r="C144" s="173" t="s">
        <v>47</v>
      </c>
      <c r="D144" s="174">
        <v>2604</v>
      </c>
      <c r="E144" s="174">
        <v>2846</v>
      </c>
    </row>
    <row r="145" spans="1:5" s="175" customFormat="1" ht="16.5" x14ac:dyDescent="0.25">
      <c r="A145" s="172" t="s">
        <v>88</v>
      </c>
      <c r="B145" s="173" t="s">
        <v>589</v>
      </c>
      <c r="C145" s="173"/>
      <c r="D145" s="174">
        <v>34804.394</v>
      </c>
      <c r="E145" s="174">
        <v>34822.394</v>
      </c>
    </row>
    <row r="146" spans="1:5" s="175" customFormat="1" ht="33" x14ac:dyDescent="0.25">
      <c r="A146" s="172" t="s">
        <v>89</v>
      </c>
      <c r="B146" s="173" t="s">
        <v>590</v>
      </c>
      <c r="C146" s="173"/>
      <c r="D146" s="174">
        <v>34804.394</v>
      </c>
      <c r="E146" s="174">
        <v>34822.394</v>
      </c>
    </row>
    <row r="147" spans="1:5" ht="33" x14ac:dyDescent="0.25">
      <c r="A147" s="172" t="s">
        <v>89</v>
      </c>
      <c r="B147" s="173" t="s">
        <v>590</v>
      </c>
      <c r="C147" s="173" t="s">
        <v>30</v>
      </c>
      <c r="D147" s="174">
        <v>30474.194</v>
      </c>
      <c r="E147" s="174">
        <v>30494.194</v>
      </c>
    </row>
    <row r="148" spans="1:5" ht="33" x14ac:dyDescent="0.25">
      <c r="A148" s="172" t="s">
        <v>89</v>
      </c>
      <c r="B148" s="173" t="s">
        <v>590</v>
      </c>
      <c r="C148" s="173" t="s">
        <v>7</v>
      </c>
      <c r="D148" s="174">
        <v>4186.2</v>
      </c>
      <c r="E148" s="174">
        <v>4186.2</v>
      </c>
    </row>
    <row r="149" spans="1:5" ht="33" x14ac:dyDescent="0.25">
      <c r="A149" s="172" t="s">
        <v>89</v>
      </c>
      <c r="B149" s="173" t="s">
        <v>590</v>
      </c>
      <c r="C149" s="173" t="s">
        <v>44</v>
      </c>
      <c r="D149" s="174">
        <v>144</v>
      </c>
      <c r="E149" s="174">
        <v>142</v>
      </c>
    </row>
    <row r="150" spans="1:5" ht="33" x14ac:dyDescent="0.25">
      <c r="A150" s="169" t="s">
        <v>90</v>
      </c>
      <c r="B150" s="170" t="s">
        <v>591</v>
      </c>
      <c r="C150" s="170"/>
      <c r="D150" s="171">
        <v>2824</v>
      </c>
      <c r="E150" s="171">
        <v>2669</v>
      </c>
    </row>
    <row r="151" spans="1:5" ht="16.5" x14ac:dyDescent="0.25">
      <c r="A151" s="172" t="s">
        <v>197</v>
      </c>
      <c r="B151" s="173" t="s">
        <v>592</v>
      </c>
      <c r="C151" s="173"/>
      <c r="D151" s="174">
        <v>2387</v>
      </c>
      <c r="E151" s="174">
        <v>2387</v>
      </c>
    </row>
    <row r="152" spans="1:5" ht="66" x14ac:dyDescent="0.25">
      <c r="A152" s="172" t="s">
        <v>198</v>
      </c>
      <c r="B152" s="173" t="s">
        <v>593</v>
      </c>
      <c r="C152" s="173"/>
      <c r="D152" s="174">
        <v>2387</v>
      </c>
      <c r="E152" s="174">
        <v>2387</v>
      </c>
    </row>
    <row r="153" spans="1:5" ht="66" x14ac:dyDescent="0.25">
      <c r="A153" s="172" t="s">
        <v>198</v>
      </c>
      <c r="B153" s="173" t="s">
        <v>593</v>
      </c>
      <c r="C153" s="173" t="s">
        <v>8</v>
      </c>
      <c r="D153" s="174">
        <v>2387</v>
      </c>
      <c r="E153" s="174">
        <v>2387</v>
      </c>
    </row>
    <row r="154" spans="1:5" ht="16.5" x14ac:dyDescent="0.25">
      <c r="A154" s="172" t="s">
        <v>199</v>
      </c>
      <c r="B154" s="173" t="s">
        <v>594</v>
      </c>
      <c r="C154" s="173"/>
      <c r="D154" s="174">
        <v>155</v>
      </c>
      <c r="E154" s="174">
        <v>0</v>
      </c>
    </row>
    <row r="155" spans="1:5" ht="16.5" x14ac:dyDescent="0.25">
      <c r="A155" s="172" t="s">
        <v>200</v>
      </c>
      <c r="B155" s="173" t="s">
        <v>595</v>
      </c>
      <c r="C155" s="173"/>
      <c r="D155" s="174">
        <v>155</v>
      </c>
      <c r="E155" s="174">
        <v>0</v>
      </c>
    </row>
    <row r="156" spans="1:5" ht="16.5" x14ac:dyDescent="0.25">
      <c r="A156" s="172" t="s">
        <v>200</v>
      </c>
      <c r="B156" s="173" t="s">
        <v>595</v>
      </c>
      <c r="C156" s="173" t="s">
        <v>106</v>
      </c>
      <c r="D156" s="174">
        <v>155</v>
      </c>
      <c r="E156" s="174">
        <v>0</v>
      </c>
    </row>
    <row r="157" spans="1:5" ht="16.5" x14ac:dyDescent="0.25">
      <c r="A157" s="172" t="s">
        <v>91</v>
      </c>
      <c r="B157" s="173" t="s">
        <v>596</v>
      </c>
      <c r="C157" s="173"/>
      <c r="D157" s="174">
        <v>282</v>
      </c>
      <c r="E157" s="174">
        <v>282</v>
      </c>
    </row>
    <row r="158" spans="1:5" ht="33" x14ac:dyDescent="0.25">
      <c r="A158" s="172" t="s">
        <v>400</v>
      </c>
      <c r="B158" s="173" t="s">
        <v>597</v>
      </c>
      <c r="C158" s="173"/>
      <c r="D158" s="174">
        <v>282</v>
      </c>
      <c r="E158" s="174">
        <v>282</v>
      </c>
    </row>
    <row r="159" spans="1:5" ht="33" x14ac:dyDescent="0.25">
      <c r="A159" s="172" t="s">
        <v>400</v>
      </c>
      <c r="B159" s="173" t="s">
        <v>597</v>
      </c>
      <c r="C159" s="173" t="s">
        <v>7</v>
      </c>
      <c r="D159" s="174">
        <v>282</v>
      </c>
      <c r="E159" s="174">
        <v>282</v>
      </c>
    </row>
    <row r="160" spans="1:5" ht="16.5" x14ac:dyDescent="0.25">
      <c r="A160" s="169" t="s">
        <v>23</v>
      </c>
      <c r="B160" s="170" t="s">
        <v>598</v>
      </c>
      <c r="C160" s="170"/>
      <c r="D160" s="171">
        <v>20167.458999999999</v>
      </c>
      <c r="E160" s="171">
        <v>29558.059000000001</v>
      </c>
    </row>
    <row r="161" spans="1:5" ht="16.5" x14ac:dyDescent="0.25">
      <c r="A161" s="172" t="s">
        <v>25</v>
      </c>
      <c r="B161" s="173" t="s">
        <v>599</v>
      </c>
      <c r="C161" s="173"/>
      <c r="D161" s="174">
        <v>20167.458999999999</v>
      </c>
      <c r="E161" s="174">
        <v>29558.059000000001</v>
      </c>
    </row>
    <row r="162" spans="1:5" ht="33" x14ac:dyDescent="0.25">
      <c r="A162" s="172" t="s">
        <v>108</v>
      </c>
      <c r="B162" s="173" t="s">
        <v>600</v>
      </c>
      <c r="C162" s="173"/>
      <c r="D162" s="174">
        <v>1794.3710000000001</v>
      </c>
      <c r="E162" s="174">
        <v>1794.3710000000001</v>
      </c>
    </row>
    <row r="163" spans="1:5" ht="33" x14ac:dyDescent="0.25">
      <c r="A163" s="172" t="s">
        <v>108</v>
      </c>
      <c r="B163" s="173" t="s">
        <v>600</v>
      </c>
      <c r="C163" s="173" t="s">
        <v>30</v>
      </c>
      <c r="D163" s="174">
        <v>1794.3710000000001</v>
      </c>
      <c r="E163" s="174">
        <v>1794.3710000000001</v>
      </c>
    </row>
    <row r="164" spans="1:5" ht="16.5" x14ac:dyDescent="0.25">
      <c r="A164" s="172" t="s">
        <v>27</v>
      </c>
      <c r="B164" s="173" t="s">
        <v>601</v>
      </c>
      <c r="C164" s="173"/>
      <c r="D164" s="174">
        <v>840.12</v>
      </c>
      <c r="E164" s="174">
        <v>840.12</v>
      </c>
    </row>
    <row r="165" spans="1:5" ht="16.5" x14ac:dyDescent="0.25">
      <c r="A165" s="172" t="s">
        <v>27</v>
      </c>
      <c r="B165" s="173" t="s">
        <v>601</v>
      </c>
      <c r="C165" s="173" t="s">
        <v>30</v>
      </c>
      <c r="D165" s="174">
        <v>840.12</v>
      </c>
      <c r="E165" s="174">
        <v>840.12</v>
      </c>
    </row>
    <row r="166" spans="1:5" ht="33" x14ac:dyDescent="0.25">
      <c r="A166" s="172" t="s">
        <v>217</v>
      </c>
      <c r="B166" s="173" t="s">
        <v>602</v>
      </c>
      <c r="C166" s="173"/>
      <c r="D166" s="174">
        <v>1281.9000000000001</v>
      </c>
      <c r="E166" s="174">
        <v>1281.9000000000001</v>
      </c>
    </row>
    <row r="167" spans="1:5" ht="33" x14ac:dyDescent="0.25">
      <c r="A167" s="172" t="s">
        <v>217</v>
      </c>
      <c r="B167" s="173" t="s">
        <v>602</v>
      </c>
      <c r="C167" s="173" t="s">
        <v>47</v>
      </c>
      <c r="D167" s="174">
        <v>1281.9000000000001</v>
      </c>
      <c r="E167" s="174">
        <v>1281.9000000000001</v>
      </c>
    </row>
    <row r="168" spans="1:5" ht="33" x14ac:dyDescent="0.25">
      <c r="A168" s="172" t="s">
        <v>110</v>
      </c>
      <c r="B168" s="173" t="s">
        <v>603</v>
      </c>
      <c r="C168" s="173"/>
      <c r="D168" s="174">
        <v>12.7</v>
      </c>
      <c r="E168" s="174">
        <v>13.3</v>
      </c>
    </row>
    <row r="169" spans="1:5" ht="33" x14ac:dyDescent="0.25">
      <c r="A169" s="172" t="s">
        <v>110</v>
      </c>
      <c r="B169" s="173" t="s">
        <v>603</v>
      </c>
      <c r="C169" s="173" t="s">
        <v>7</v>
      </c>
      <c r="D169" s="174">
        <v>12.7</v>
      </c>
      <c r="E169" s="174">
        <v>13.3</v>
      </c>
    </row>
    <row r="170" spans="1:5" ht="33" x14ac:dyDescent="0.25">
      <c r="A170" s="172" t="s">
        <v>219</v>
      </c>
      <c r="B170" s="173" t="s">
        <v>604</v>
      </c>
      <c r="C170" s="173"/>
      <c r="D170" s="174">
        <v>50.7</v>
      </c>
      <c r="E170" s="174">
        <v>50.7</v>
      </c>
    </row>
    <row r="171" spans="1:5" ht="33" x14ac:dyDescent="0.25">
      <c r="A171" s="172" t="s">
        <v>219</v>
      </c>
      <c r="B171" s="173" t="s">
        <v>604</v>
      </c>
      <c r="C171" s="173" t="s">
        <v>47</v>
      </c>
      <c r="D171" s="174">
        <v>50.7</v>
      </c>
      <c r="E171" s="174">
        <v>50.7</v>
      </c>
    </row>
    <row r="172" spans="1:5" ht="33" x14ac:dyDescent="0.25">
      <c r="A172" s="172" t="s">
        <v>31</v>
      </c>
      <c r="B172" s="173" t="s">
        <v>605</v>
      </c>
      <c r="C172" s="173"/>
      <c r="D172" s="174">
        <v>19.013000000000002</v>
      </c>
      <c r="E172" s="174">
        <v>19.013000000000002</v>
      </c>
    </row>
    <row r="173" spans="1:5" ht="33" x14ac:dyDescent="0.25">
      <c r="A173" s="172" t="s">
        <v>31</v>
      </c>
      <c r="B173" s="173" t="s">
        <v>605</v>
      </c>
      <c r="C173" s="173" t="s">
        <v>7</v>
      </c>
      <c r="D173" s="174">
        <v>19.013000000000002</v>
      </c>
      <c r="E173" s="174">
        <v>19.013000000000002</v>
      </c>
    </row>
    <row r="174" spans="1:5" ht="66" x14ac:dyDescent="0.25">
      <c r="A174" s="172" t="s">
        <v>415</v>
      </c>
      <c r="B174" s="173" t="s">
        <v>606</v>
      </c>
      <c r="C174" s="173"/>
      <c r="D174" s="174">
        <v>53.1</v>
      </c>
      <c r="E174" s="174">
        <v>53.1</v>
      </c>
    </row>
    <row r="175" spans="1:5" ht="66" x14ac:dyDescent="0.25">
      <c r="A175" s="172" t="s">
        <v>415</v>
      </c>
      <c r="B175" s="173" t="s">
        <v>606</v>
      </c>
      <c r="C175" s="173" t="s">
        <v>30</v>
      </c>
      <c r="D175" s="174">
        <v>31.126000000000001</v>
      </c>
      <c r="E175" s="174">
        <v>31.126000000000001</v>
      </c>
    </row>
    <row r="176" spans="1:5" ht="66" x14ac:dyDescent="0.25">
      <c r="A176" s="172" t="s">
        <v>415</v>
      </c>
      <c r="B176" s="173" t="s">
        <v>606</v>
      </c>
      <c r="C176" s="173" t="s">
        <v>7</v>
      </c>
      <c r="D176" s="174">
        <v>21.974</v>
      </c>
      <c r="E176" s="174">
        <v>21.974</v>
      </c>
    </row>
    <row r="177" spans="1:5" ht="66" x14ac:dyDescent="0.25">
      <c r="A177" s="172" t="s">
        <v>417</v>
      </c>
      <c r="B177" s="173" t="s">
        <v>607</v>
      </c>
      <c r="C177" s="173"/>
      <c r="D177" s="174">
        <v>62.5</v>
      </c>
      <c r="E177" s="174">
        <v>62.5</v>
      </c>
    </row>
    <row r="178" spans="1:5" ht="66" x14ac:dyDescent="0.25">
      <c r="A178" s="172" t="s">
        <v>417</v>
      </c>
      <c r="B178" s="173" t="s">
        <v>607</v>
      </c>
      <c r="C178" s="173" t="s">
        <v>30</v>
      </c>
      <c r="D178" s="174">
        <v>55.34</v>
      </c>
      <c r="E178" s="174">
        <v>55.34</v>
      </c>
    </row>
    <row r="179" spans="1:5" ht="66" x14ac:dyDescent="0.25">
      <c r="A179" s="172" t="s">
        <v>417</v>
      </c>
      <c r="B179" s="173" t="s">
        <v>607</v>
      </c>
      <c r="C179" s="173" t="s">
        <v>7</v>
      </c>
      <c r="D179" s="174">
        <v>7.16</v>
      </c>
      <c r="E179" s="174">
        <v>7.16</v>
      </c>
    </row>
    <row r="180" spans="1:5" ht="132" x14ac:dyDescent="0.25">
      <c r="A180" s="176" t="s">
        <v>419</v>
      </c>
      <c r="B180" s="173" t="s">
        <v>608</v>
      </c>
      <c r="C180" s="173"/>
      <c r="D180" s="174">
        <v>221.5</v>
      </c>
      <c r="E180" s="174">
        <v>221.5</v>
      </c>
    </row>
    <row r="181" spans="1:5" ht="132" x14ac:dyDescent="0.25">
      <c r="A181" s="176" t="s">
        <v>419</v>
      </c>
      <c r="B181" s="173" t="s">
        <v>608</v>
      </c>
      <c r="C181" s="173" t="s">
        <v>30</v>
      </c>
      <c r="D181" s="174">
        <v>207.321</v>
      </c>
      <c r="E181" s="174">
        <v>207.321</v>
      </c>
    </row>
    <row r="182" spans="1:5" ht="132" x14ac:dyDescent="0.25">
      <c r="A182" s="176" t="s">
        <v>419</v>
      </c>
      <c r="B182" s="173" t="s">
        <v>608</v>
      </c>
      <c r="C182" s="173" t="s">
        <v>7</v>
      </c>
      <c r="D182" s="174">
        <v>14.179</v>
      </c>
      <c r="E182" s="174">
        <v>14.179</v>
      </c>
    </row>
    <row r="183" spans="1:5" ht="82.5" x14ac:dyDescent="0.25">
      <c r="A183" s="176" t="s">
        <v>221</v>
      </c>
      <c r="B183" s="173" t="s">
        <v>609</v>
      </c>
      <c r="C183" s="173"/>
      <c r="D183" s="174">
        <v>2.5</v>
      </c>
      <c r="E183" s="174">
        <v>2.5</v>
      </c>
    </row>
    <row r="184" spans="1:5" ht="82.5" x14ac:dyDescent="0.25">
      <c r="A184" s="176" t="s">
        <v>221</v>
      </c>
      <c r="B184" s="173" t="s">
        <v>609</v>
      </c>
      <c r="C184" s="173" t="s">
        <v>7</v>
      </c>
      <c r="D184" s="174">
        <v>2.5</v>
      </c>
      <c r="E184" s="174">
        <v>2.5</v>
      </c>
    </row>
    <row r="185" spans="1:5" ht="148.5" x14ac:dyDescent="0.25">
      <c r="A185" s="176" t="s">
        <v>223</v>
      </c>
      <c r="B185" s="173" t="s">
        <v>610</v>
      </c>
      <c r="C185" s="173"/>
      <c r="D185" s="174">
        <v>4</v>
      </c>
      <c r="E185" s="174">
        <v>4</v>
      </c>
    </row>
    <row r="186" spans="1:5" ht="148.5" x14ac:dyDescent="0.25">
      <c r="A186" s="176" t="s">
        <v>223</v>
      </c>
      <c r="B186" s="173" t="s">
        <v>610</v>
      </c>
      <c r="C186" s="173" t="s">
        <v>7</v>
      </c>
      <c r="D186" s="174">
        <v>4</v>
      </c>
      <c r="E186" s="174">
        <v>4</v>
      </c>
    </row>
    <row r="187" spans="1:5" ht="99" x14ac:dyDescent="0.25">
      <c r="A187" s="176" t="s">
        <v>111</v>
      </c>
      <c r="B187" s="173" t="s">
        <v>611</v>
      </c>
      <c r="C187" s="173"/>
      <c r="D187" s="174">
        <v>166.9</v>
      </c>
      <c r="E187" s="174">
        <v>166.9</v>
      </c>
    </row>
    <row r="188" spans="1:5" ht="99" x14ac:dyDescent="0.25">
      <c r="A188" s="176" t="s">
        <v>111</v>
      </c>
      <c r="B188" s="173" t="s">
        <v>611</v>
      </c>
      <c r="C188" s="173" t="s">
        <v>7</v>
      </c>
      <c r="D188" s="174">
        <v>4.3600000000000003</v>
      </c>
      <c r="E188" s="174">
        <v>4.3600000000000003</v>
      </c>
    </row>
    <row r="189" spans="1:5" ht="99" x14ac:dyDescent="0.25">
      <c r="A189" s="176" t="s">
        <v>111</v>
      </c>
      <c r="B189" s="173" t="s">
        <v>611</v>
      </c>
      <c r="C189" s="173" t="s">
        <v>47</v>
      </c>
      <c r="D189" s="174">
        <v>162.54</v>
      </c>
      <c r="E189" s="174">
        <v>162.54</v>
      </c>
    </row>
    <row r="190" spans="1:5" ht="82.5" x14ac:dyDescent="0.25">
      <c r="A190" s="176" t="s">
        <v>225</v>
      </c>
      <c r="B190" s="173" t="s">
        <v>612</v>
      </c>
      <c r="C190" s="173"/>
      <c r="D190" s="174">
        <v>9</v>
      </c>
      <c r="E190" s="174">
        <v>9</v>
      </c>
    </row>
    <row r="191" spans="1:5" ht="82.5" x14ac:dyDescent="0.25">
      <c r="A191" s="176" t="s">
        <v>225</v>
      </c>
      <c r="B191" s="173" t="s">
        <v>612</v>
      </c>
      <c r="C191" s="173" t="s">
        <v>7</v>
      </c>
      <c r="D191" s="174">
        <v>9</v>
      </c>
      <c r="E191" s="174">
        <v>9</v>
      </c>
    </row>
    <row r="192" spans="1:5" ht="66" x14ac:dyDescent="0.25">
      <c r="A192" s="172" t="s">
        <v>34</v>
      </c>
      <c r="B192" s="173" t="s">
        <v>613</v>
      </c>
      <c r="C192" s="173"/>
      <c r="D192" s="174">
        <v>407.46</v>
      </c>
      <c r="E192" s="174">
        <v>407.46</v>
      </c>
    </row>
    <row r="193" spans="1:5" ht="66" x14ac:dyDescent="0.25">
      <c r="A193" s="172" t="s">
        <v>34</v>
      </c>
      <c r="B193" s="173" t="s">
        <v>613</v>
      </c>
      <c r="C193" s="173" t="s">
        <v>30</v>
      </c>
      <c r="D193" s="174">
        <v>390.57</v>
      </c>
      <c r="E193" s="174">
        <v>390.57</v>
      </c>
    </row>
    <row r="194" spans="1:5" ht="66" x14ac:dyDescent="0.25">
      <c r="A194" s="172" t="s">
        <v>34</v>
      </c>
      <c r="B194" s="173" t="s">
        <v>613</v>
      </c>
      <c r="C194" s="173" t="s">
        <v>7</v>
      </c>
      <c r="D194" s="174">
        <v>16.89</v>
      </c>
      <c r="E194" s="174">
        <v>16.89</v>
      </c>
    </row>
    <row r="195" spans="1:5" ht="33" x14ac:dyDescent="0.25">
      <c r="A195" s="172" t="s">
        <v>113</v>
      </c>
      <c r="B195" s="173" t="s">
        <v>614</v>
      </c>
      <c r="C195" s="173"/>
      <c r="D195" s="174">
        <v>1500</v>
      </c>
      <c r="E195" s="174">
        <v>1500</v>
      </c>
    </row>
    <row r="196" spans="1:5" ht="33" x14ac:dyDescent="0.25">
      <c r="A196" s="172" t="s">
        <v>113</v>
      </c>
      <c r="B196" s="173" t="s">
        <v>614</v>
      </c>
      <c r="C196" s="173" t="s">
        <v>44</v>
      </c>
      <c r="D196" s="174">
        <v>1500</v>
      </c>
      <c r="E196" s="174">
        <v>1500</v>
      </c>
    </row>
    <row r="197" spans="1:5" ht="16.5" x14ac:dyDescent="0.25">
      <c r="A197" s="172" t="s">
        <v>38</v>
      </c>
      <c r="B197" s="173" t="s">
        <v>615</v>
      </c>
      <c r="C197" s="173"/>
      <c r="D197" s="174">
        <v>5141.6949999999997</v>
      </c>
      <c r="E197" s="174">
        <v>5131.6949999999997</v>
      </c>
    </row>
    <row r="198" spans="1:5" ht="16.5" x14ac:dyDescent="0.25">
      <c r="A198" s="172" t="s">
        <v>38</v>
      </c>
      <c r="B198" s="173" t="s">
        <v>615</v>
      </c>
      <c r="C198" s="173" t="s">
        <v>7</v>
      </c>
      <c r="D198" s="174">
        <v>390</v>
      </c>
      <c r="E198" s="174">
        <v>380</v>
      </c>
    </row>
    <row r="199" spans="1:5" ht="16.5" x14ac:dyDescent="0.25">
      <c r="A199" s="172" t="s">
        <v>38</v>
      </c>
      <c r="B199" s="173" t="s">
        <v>615</v>
      </c>
      <c r="C199" s="173" t="s">
        <v>8</v>
      </c>
      <c r="D199" s="174">
        <v>4661.6949999999997</v>
      </c>
      <c r="E199" s="174">
        <v>4661.6949999999997</v>
      </c>
    </row>
    <row r="200" spans="1:5" ht="16.5" x14ac:dyDescent="0.25">
      <c r="A200" s="172" t="s">
        <v>38</v>
      </c>
      <c r="B200" s="173" t="s">
        <v>615</v>
      </c>
      <c r="C200" s="173" t="s">
        <v>44</v>
      </c>
      <c r="D200" s="174">
        <v>90</v>
      </c>
      <c r="E200" s="174">
        <v>90</v>
      </c>
    </row>
    <row r="201" spans="1:5" ht="16.5" x14ac:dyDescent="0.25">
      <c r="A201" s="172" t="s">
        <v>508</v>
      </c>
      <c r="B201" s="173" t="s">
        <v>616</v>
      </c>
      <c r="C201" s="173"/>
      <c r="D201" s="174">
        <v>8600</v>
      </c>
      <c r="E201" s="174">
        <v>18000</v>
      </c>
    </row>
    <row r="202" spans="1:5" ht="16.5" x14ac:dyDescent="0.25">
      <c r="A202" s="172" t="s">
        <v>508</v>
      </c>
      <c r="B202" s="173" t="s">
        <v>616</v>
      </c>
      <c r="C202" s="173" t="s">
        <v>617</v>
      </c>
      <c r="D202" s="174">
        <v>8600</v>
      </c>
      <c r="E202" s="174">
        <v>18000</v>
      </c>
    </row>
  </sheetData>
  <mergeCells count="8">
    <mergeCell ref="A4:E4"/>
    <mergeCell ref="A18:B18"/>
    <mergeCell ref="A12:E12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9"/>
  <sheetViews>
    <sheetView view="pageBreakPreview" zoomScale="60" zoomScaleNormal="100" workbookViewId="0">
      <selection activeCell="N23" sqref="N23"/>
    </sheetView>
  </sheetViews>
  <sheetFormatPr defaultRowHeight="15" x14ac:dyDescent="0.25"/>
  <cols>
    <col min="1" max="1" width="5.85546875" customWidth="1"/>
    <col min="2" max="2" width="6.7109375" customWidth="1"/>
    <col min="3" max="3" width="7" customWidth="1"/>
    <col min="4" max="4" width="5.42578125" customWidth="1"/>
    <col min="5" max="5" width="5.85546875" customWidth="1"/>
    <col min="6" max="6" width="6.85546875" customWidth="1"/>
    <col min="7" max="7" width="5.42578125" customWidth="1"/>
    <col min="8" max="8" width="49.5703125" customWidth="1"/>
    <col min="9" max="9" width="18" customWidth="1"/>
    <col min="10" max="10" width="17.140625" customWidth="1"/>
    <col min="11" max="11" width="16.5703125" customWidth="1"/>
    <col min="257" max="257" width="5.85546875" customWidth="1"/>
    <col min="258" max="258" width="6.7109375" customWidth="1"/>
    <col min="259" max="259" width="7" customWidth="1"/>
    <col min="260" max="260" width="5.42578125" customWidth="1"/>
    <col min="261" max="261" width="5.85546875" customWidth="1"/>
    <col min="262" max="262" width="6.85546875" customWidth="1"/>
    <col min="263" max="263" width="5.42578125" customWidth="1"/>
    <col min="264" max="264" width="49.5703125" customWidth="1"/>
    <col min="265" max="265" width="18" customWidth="1"/>
    <col min="266" max="266" width="17.140625" customWidth="1"/>
    <col min="267" max="267" width="16.5703125" customWidth="1"/>
    <col min="513" max="513" width="5.85546875" customWidth="1"/>
    <col min="514" max="514" width="6.7109375" customWidth="1"/>
    <col min="515" max="515" width="7" customWidth="1"/>
    <col min="516" max="516" width="5.42578125" customWidth="1"/>
    <col min="517" max="517" width="5.85546875" customWidth="1"/>
    <col min="518" max="518" width="6.85546875" customWidth="1"/>
    <col min="519" max="519" width="5.42578125" customWidth="1"/>
    <col min="520" max="520" width="49.5703125" customWidth="1"/>
    <col min="521" max="521" width="18" customWidth="1"/>
    <col min="522" max="522" width="17.140625" customWidth="1"/>
    <col min="523" max="523" width="16.5703125" customWidth="1"/>
    <col min="769" max="769" width="5.85546875" customWidth="1"/>
    <col min="770" max="770" width="6.7109375" customWidth="1"/>
    <col min="771" max="771" width="7" customWidth="1"/>
    <col min="772" max="772" width="5.42578125" customWidth="1"/>
    <col min="773" max="773" width="5.85546875" customWidth="1"/>
    <col min="774" max="774" width="6.85546875" customWidth="1"/>
    <col min="775" max="775" width="5.42578125" customWidth="1"/>
    <col min="776" max="776" width="49.5703125" customWidth="1"/>
    <col min="777" max="777" width="18" customWidth="1"/>
    <col min="778" max="778" width="17.140625" customWidth="1"/>
    <col min="779" max="779" width="16.5703125" customWidth="1"/>
    <col min="1025" max="1025" width="5.85546875" customWidth="1"/>
    <col min="1026" max="1026" width="6.7109375" customWidth="1"/>
    <col min="1027" max="1027" width="7" customWidth="1"/>
    <col min="1028" max="1028" width="5.42578125" customWidth="1"/>
    <col min="1029" max="1029" width="5.85546875" customWidth="1"/>
    <col min="1030" max="1030" width="6.85546875" customWidth="1"/>
    <col min="1031" max="1031" width="5.42578125" customWidth="1"/>
    <col min="1032" max="1032" width="49.5703125" customWidth="1"/>
    <col min="1033" max="1033" width="18" customWidth="1"/>
    <col min="1034" max="1034" width="17.140625" customWidth="1"/>
    <col min="1035" max="1035" width="16.5703125" customWidth="1"/>
    <col min="1281" max="1281" width="5.85546875" customWidth="1"/>
    <col min="1282" max="1282" width="6.7109375" customWidth="1"/>
    <col min="1283" max="1283" width="7" customWidth="1"/>
    <col min="1284" max="1284" width="5.42578125" customWidth="1"/>
    <col min="1285" max="1285" width="5.85546875" customWidth="1"/>
    <col min="1286" max="1286" width="6.85546875" customWidth="1"/>
    <col min="1287" max="1287" width="5.42578125" customWidth="1"/>
    <col min="1288" max="1288" width="49.5703125" customWidth="1"/>
    <col min="1289" max="1289" width="18" customWidth="1"/>
    <col min="1290" max="1290" width="17.140625" customWidth="1"/>
    <col min="1291" max="1291" width="16.5703125" customWidth="1"/>
    <col min="1537" max="1537" width="5.85546875" customWidth="1"/>
    <col min="1538" max="1538" width="6.7109375" customWidth="1"/>
    <col min="1539" max="1539" width="7" customWidth="1"/>
    <col min="1540" max="1540" width="5.42578125" customWidth="1"/>
    <col min="1541" max="1541" width="5.85546875" customWidth="1"/>
    <col min="1542" max="1542" width="6.85546875" customWidth="1"/>
    <col min="1543" max="1543" width="5.42578125" customWidth="1"/>
    <col min="1544" max="1544" width="49.5703125" customWidth="1"/>
    <col min="1545" max="1545" width="18" customWidth="1"/>
    <col min="1546" max="1546" width="17.140625" customWidth="1"/>
    <col min="1547" max="1547" width="16.5703125" customWidth="1"/>
    <col min="1793" max="1793" width="5.85546875" customWidth="1"/>
    <col min="1794" max="1794" width="6.7109375" customWidth="1"/>
    <col min="1795" max="1795" width="7" customWidth="1"/>
    <col min="1796" max="1796" width="5.42578125" customWidth="1"/>
    <col min="1797" max="1797" width="5.85546875" customWidth="1"/>
    <col min="1798" max="1798" width="6.85546875" customWidth="1"/>
    <col min="1799" max="1799" width="5.42578125" customWidth="1"/>
    <col min="1800" max="1800" width="49.5703125" customWidth="1"/>
    <col min="1801" max="1801" width="18" customWidth="1"/>
    <col min="1802" max="1802" width="17.140625" customWidth="1"/>
    <col min="1803" max="1803" width="16.5703125" customWidth="1"/>
    <col min="2049" max="2049" width="5.85546875" customWidth="1"/>
    <col min="2050" max="2050" width="6.7109375" customWidth="1"/>
    <col min="2051" max="2051" width="7" customWidth="1"/>
    <col min="2052" max="2052" width="5.42578125" customWidth="1"/>
    <col min="2053" max="2053" width="5.85546875" customWidth="1"/>
    <col min="2054" max="2054" width="6.85546875" customWidth="1"/>
    <col min="2055" max="2055" width="5.42578125" customWidth="1"/>
    <col min="2056" max="2056" width="49.5703125" customWidth="1"/>
    <col min="2057" max="2057" width="18" customWidth="1"/>
    <col min="2058" max="2058" width="17.140625" customWidth="1"/>
    <col min="2059" max="2059" width="16.5703125" customWidth="1"/>
    <col min="2305" max="2305" width="5.85546875" customWidth="1"/>
    <col min="2306" max="2306" width="6.7109375" customWidth="1"/>
    <col min="2307" max="2307" width="7" customWidth="1"/>
    <col min="2308" max="2308" width="5.42578125" customWidth="1"/>
    <col min="2309" max="2309" width="5.85546875" customWidth="1"/>
    <col min="2310" max="2310" width="6.85546875" customWidth="1"/>
    <col min="2311" max="2311" width="5.42578125" customWidth="1"/>
    <col min="2312" max="2312" width="49.5703125" customWidth="1"/>
    <col min="2313" max="2313" width="18" customWidth="1"/>
    <col min="2314" max="2314" width="17.140625" customWidth="1"/>
    <col min="2315" max="2315" width="16.5703125" customWidth="1"/>
    <col min="2561" max="2561" width="5.85546875" customWidth="1"/>
    <col min="2562" max="2562" width="6.7109375" customWidth="1"/>
    <col min="2563" max="2563" width="7" customWidth="1"/>
    <col min="2564" max="2564" width="5.42578125" customWidth="1"/>
    <col min="2565" max="2565" width="5.85546875" customWidth="1"/>
    <col min="2566" max="2566" width="6.85546875" customWidth="1"/>
    <col min="2567" max="2567" width="5.42578125" customWidth="1"/>
    <col min="2568" max="2568" width="49.5703125" customWidth="1"/>
    <col min="2569" max="2569" width="18" customWidth="1"/>
    <col min="2570" max="2570" width="17.140625" customWidth="1"/>
    <col min="2571" max="2571" width="16.5703125" customWidth="1"/>
    <col min="2817" max="2817" width="5.85546875" customWidth="1"/>
    <col min="2818" max="2818" width="6.7109375" customWidth="1"/>
    <col min="2819" max="2819" width="7" customWidth="1"/>
    <col min="2820" max="2820" width="5.42578125" customWidth="1"/>
    <col min="2821" max="2821" width="5.85546875" customWidth="1"/>
    <col min="2822" max="2822" width="6.85546875" customWidth="1"/>
    <col min="2823" max="2823" width="5.42578125" customWidth="1"/>
    <col min="2824" max="2824" width="49.5703125" customWidth="1"/>
    <col min="2825" max="2825" width="18" customWidth="1"/>
    <col min="2826" max="2826" width="17.140625" customWidth="1"/>
    <col min="2827" max="2827" width="16.5703125" customWidth="1"/>
    <col min="3073" max="3073" width="5.85546875" customWidth="1"/>
    <col min="3074" max="3074" width="6.7109375" customWidth="1"/>
    <col min="3075" max="3075" width="7" customWidth="1"/>
    <col min="3076" max="3076" width="5.42578125" customWidth="1"/>
    <col min="3077" max="3077" width="5.85546875" customWidth="1"/>
    <col min="3078" max="3078" width="6.85546875" customWidth="1"/>
    <col min="3079" max="3079" width="5.42578125" customWidth="1"/>
    <col min="3080" max="3080" width="49.5703125" customWidth="1"/>
    <col min="3081" max="3081" width="18" customWidth="1"/>
    <col min="3082" max="3082" width="17.140625" customWidth="1"/>
    <col min="3083" max="3083" width="16.5703125" customWidth="1"/>
    <col min="3329" max="3329" width="5.85546875" customWidth="1"/>
    <col min="3330" max="3330" width="6.7109375" customWidth="1"/>
    <col min="3331" max="3331" width="7" customWidth="1"/>
    <col min="3332" max="3332" width="5.42578125" customWidth="1"/>
    <col min="3333" max="3333" width="5.85546875" customWidth="1"/>
    <col min="3334" max="3334" width="6.85546875" customWidth="1"/>
    <col min="3335" max="3335" width="5.42578125" customWidth="1"/>
    <col min="3336" max="3336" width="49.5703125" customWidth="1"/>
    <col min="3337" max="3337" width="18" customWidth="1"/>
    <col min="3338" max="3338" width="17.140625" customWidth="1"/>
    <col min="3339" max="3339" width="16.5703125" customWidth="1"/>
    <col min="3585" max="3585" width="5.85546875" customWidth="1"/>
    <col min="3586" max="3586" width="6.7109375" customWidth="1"/>
    <col min="3587" max="3587" width="7" customWidth="1"/>
    <col min="3588" max="3588" width="5.42578125" customWidth="1"/>
    <col min="3589" max="3589" width="5.85546875" customWidth="1"/>
    <col min="3590" max="3590" width="6.85546875" customWidth="1"/>
    <col min="3591" max="3591" width="5.42578125" customWidth="1"/>
    <col min="3592" max="3592" width="49.5703125" customWidth="1"/>
    <col min="3593" max="3593" width="18" customWidth="1"/>
    <col min="3594" max="3594" width="17.140625" customWidth="1"/>
    <col min="3595" max="3595" width="16.5703125" customWidth="1"/>
    <col min="3841" max="3841" width="5.85546875" customWidth="1"/>
    <col min="3842" max="3842" width="6.7109375" customWidth="1"/>
    <col min="3843" max="3843" width="7" customWidth="1"/>
    <col min="3844" max="3844" width="5.42578125" customWidth="1"/>
    <col min="3845" max="3845" width="5.85546875" customWidth="1"/>
    <col min="3846" max="3846" width="6.85546875" customWidth="1"/>
    <col min="3847" max="3847" width="5.42578125" customWidth="1"/>
    <col min="3848" max="3848" width="49.5703125" customWidth="1"/>
    <col min="3849" max="3849" width="18" customWidth="1"/>
    <col min="3850" max="3850" width="17.140625" customWidth="1"/>
    <col min="3851" max="3851" width="16.5703125" customWidth="1"/>
    <col min="4097" max="4097" width="5.85546875" customWidth="1"/>
    <col min="4098" max="4098" width="6.7109375" customWidth="1"/>
    <col min="4099" max="4099" width="7" customWidth="1"/>
    <col min="4100" max="4100" width="5.42578125" customWidth="1"/>
    <col min="4101" max="4101" width="5.85546875" customWidth="1"/>
    <col min="4102" max="4102" width="6.85546875" customWidth="1"/>
    <col min="4103" max="4103" width="5.42578125" customWidth="1"/>
    <col min="4104" max="4104" width="49.5703125" customWidth="1"/>
    <col min="4105" max="4105" width="18" customWidth="1"/>
    <col min="4106" max="4106" width="17.140625" customWidth="1"/>
    <col min="4107" max="4107" width="16.5703125" customWidth="1"/>
    <col min="4353" max="4353" width="5.85546875" customWidth="1"/>
    <col min="4354" max="4354" width="6.7109375" customWidth="1"/>
    <col min="4355" max="4355" width="7" customWidth="1"/>
    <col min="4356" max="4356" width="5.42578125" customWidth="1"/>
    <col min="4357" max="4357" width="5.85546875" customWidth="1"/>
    <col min="4358" max="4358" width="6.85546875" customWidth="1"/>
    <col min="4359" max="4359" width="5.42578125" customWidth="1"/>
    <col min="4360" max="4360" width="49.5703125" customWidth="1"/>
    <col min="4361" max="4361" width="18" customWidth="1"/>
    <col min="4362" max="4362" width="17.140625" customWidth="1"/>
    <col min="4363" max="4363" width="16.5703125" customWidth="1"/>
    <col min="4609" max="4609" width="5.85546875" customWidth="1"/>
    <col min="4610" max="4610" width="6.7109375" customWidth="1"/>
    <col min="4611" max="4611" width="7" customWidth="1"/>
    <col min="4612" max="4612" width="5.42578125" customWidth="1"/>
    <col min="4613" max="4613" width="5.85546875" customWidth="1"/>
    <col min="4614" max="4614" width="6.85546875" customWidth="1"/>
    <col min="4615" max="4615" width="5.42578125" customWidth="1"/>
    <col min="4616" max="4616" width="49.5703125" customWidth="1"/>
    <col min="4617" max="4617" width="18" customWidth="1"/>
    <col min="4618" max="4618" width="17.140625" customWidth="1"/>
    <col min="4619" max="4619" width="16.5703125" customWidth="1"/>
    <col min="4865" max="4865" width="5.85546875" customWidth="1"/>
    <col min="4866" max="4866" width="6.7109375" customWidth="1"/>
    <col min="4867" max="4867" width="7" customWidth="1"/>
    <col min="4868" max="4868" width="5.42578125" customWidth="1"/>
    <col min="4869" max="4869" width="5.85546875" customWidth="1"/>
    <col min="4870" max="4870" width="6.85546875" customWidth="1"/>
    <col min="4871" max="4871" width="5.42578125" customWidth="1"/>
    <col min="4872" max="4872" width="49.5703125" customWidth="1"/>
    <col min="4873" max="4873" width="18" customWidth="1"/>
    <col min="4874" max="4874" width="17.140625" customWidth="1"/>
    <col min="4875" max="4875" width="16.5703125" customWidth="1"/>
    <col min="5121" max="5121" width="5.85546875" customWidth="1"/>
    <col min="5122" max="5122" width="6.7109375" customWidth="1"/>
    <col min="5123" max="5123" width="7" customWidth="1"/>
    <col min="5124" max="5124" width="5.42578125" customWidth="1"/>
    <col min="5125" max="5125" width="5.85546875" customWidth="1"/>
    <col min="5126" max="5126" width="6.85546875" customWidth="1"/>
    <col min="5127" max="5127" width="5.42578125" customWidth="1"/>
    <col min="5128" max="5128" width="49.5703125" customWidth="1"/>
    <col min="5129" max="5129" width="18" customWidth="1"/>
    <col min="5130" max="5130" width="17.140625" customWidth="1"/>
    <col min="5131" max="5131" width="16.5703125" customWidth="1"/>
    <col min="5377" max="5377" width="5.85546875" customWidth="1"/>
    <col min="5378" max="5378" width="6.7109375" customWidth="1"/>
    <col min="5379" max="5379" width="7" customWidth="1"/>
    <col min="5380" max="5380" width="5.42578125" customWidth="1"/>
    <col min="5381" max="5381" width="5.85546875" customWidth="1"/>
    <col min="5382" max="5382" width="6.85546875" customWidth="1"/>
    <col min="5383" max="5383" width="5.42578125" customWidth="1"/>
    <col min="5384" max="5384" width="49.5703125" customWidth="1"/>
    <col min="5385" max="5385" width="18" customWidth="1"/>
    <col min="5386" max="5386" width="17.140625" customWidth="1"/>
    <col min="5387" max="5387" width="16.5703125" customWidth="1"/>
    <col min="5633" max="5633" width="5.85546875" customWidth="1"/>
    <col min="5634" max="5634" width="6.7109375" customWidth="1"/>
    <col min="5635" max="5635" width="7" customWidth="1"/>
    <col min="5636" max="5636" width="5.42578125" customWidth="1"/>
    <col min="5637" max="5637" width="5.85546875" customWidth="1"/>
    <col min="5638" max="5638" width="6.85546875" customWidth="1"/>
    <col min="5639" max="5639" width="5.42578125" customWidth="1"/>
    <col min="5640" max="5640" width="49.5703125" customWidth="1"/>
    <col min="5641" max="5641" width="18" customWidth="1"/>
    <col min="5642" max="5642" width="17.140625" customWidth="1"/>
    <col min="5643" max="5643" width="16.5703125" customWidth="1"/>
    <col min="5889" max="5889" width="5.85546875" customWidth="1"/>
    <col min="5890" max="5890" width="6.7109375" customWidth="1"/>
    <col min="5891" max="5891" width="7" customWidth="1"/>
    <col min="5892" max="5892" width="5.42578125" customWidth="1"/>
    <col min="5893" max="5893" width="5.85546875" customWidth="1"/>
    <col min="5894" max="5894" width="6.85546875" customWidth="1"/>
    <col min="5895" max="5895" width="5.42578125" customWidth="1"/>
    <col min="5896" max="5896" width="49.5703125" customWidth="1"/>
    <col min="5897" max="5897" width="18" customWidth="1"/>
    <col min="5898" max="5898" width="17.140625" customWidth="1"/>
    <col min="5899" max="5899" width="16.5703125" customWidth="1"/>
    <col min="6145" max="6145" width="5.85546875" customWidth="1"/>
    <col min="6146" max="6146" width="6.7109375" customWidth="1"/>
    <col min="6147" max="6147" width="7" customWidth="1"/>
    <col min="6148" max="6148" width="5.42578125" customWidth="1"/>
    <col min="6149" max="6149" width="5.85546875" customWidth="1"/>
    <col min="6150" max="6150" width="6.85546875" customWidth="1"/>
    <col min="6151" max="6151" width="5.42578125" customWidth="1"/>
    <col min="6152" max="6152" width="49.5703125" customWidth="1"/>
    <col min="6153" max="6153" width="18" customWidth="1"/>
    <col min="6154" max="6154" width="17.140625" customWidth="1"/>
    <col min="6155" max="6155" width="16.5703125" customWidth="1"/>
    <col min="6401" max="6401" width="5.85546875" customWidth="1"/>
    <col min="6402" max="6402" width="6.7109375" customWidth="1"/>
    <col min="6403" max="6403" width="7" customWidth="1"/>
    <col min="6404" max="6404" width="5.42578125" customWidth="1"/>
    <col min="6405" max="6405" width="5.85546875" customWidth="1"/>
    <col min="6406" max="6406" width="6.85546875" customWidth="1"/>
    <col min="6407" max="6407" width="5.42578125" customWidth="1"/>
    <col min="6408" max="6408" width="49.5703125" customWidth="1"/>
    <col min="6409" max="6409" width="18" customWidth="1"/>
    <col min="6410" max="6410" width="17.140625" customWidth="1"/>
    <col min="6411" max="6411" width="16.5703125" customWidth="1"/>
    <col min="6657" max="6657" width="5.85546875" customWidth="1"/>
    <col min="6658" max="6658" width="6.7109375" customWidth="1"/>
    <col min="6659" max="6659" width="7" customWidth="1"/>
    <col min="6660" max="6660" width="5.42578125" customWidth="1"/>
    <col min="6661" max="6661" width="5.85546875" customWidth="1"/>
    <col min="6662" max="6662" width="6.85546875" customWidth="1"/>
    <col min="6663" max="6663" width="5.42578125" customWidth="1"/>
    <col min="6664" max="6664" width="49.5703125" customWidth="1"/>
    <col min="6665" max="6665" width="18" customWidth="1"/>
    <col min="6666" max="6666" width="17.140625" customWidth="1"/>
    <col min="6667" max="6667" width="16.5703125" customWidth="1"/>
    <col min="6913" max="6913" width="5.85546875" customWidth="1"/>
    <col min="6914" max="6914" width="6.7109375" customWidth="1"/>
    <col min="6915" max="6915" width="7" customWidth="1"/>
    <col min="6916" max="6916" width="5.42578125" customWidth="1"/>
    <col min="6917" max="6917" width="5.85546875" customWidth="1"/>
    <col min="6918" max="6918" width="6.85546875" customWidth="1"/>
    <col min="6919" max="6919" width="5.42578125" customWidth="1"/>
    <col min="6920" max="6920" width="49.5703125" customWidth="1"/>
    <col min="6921" max="6921" width="18" customWidth="1"/>
    <col min="6922" max="6922" width="17.140625" customWidth="1"/>
    <col min="6923" max="6923" width="16.5703125" customWidth="1"/>
    <col min="7169" max="7169" width="5.85546875" customWidth="1"/>
    <col min="7170" max="7170" width="6.7109375" customWidth="1"/>
    <col min="7171" max="7171" width="7" customWidth="1"/>
    <col min="7172" max="7172" width="5.42578125" customWidth="1"/>
    <col min="7173" max="7173" width="5.85546875" customWidth="1"/>
    <col min="7174" max="7174" width="6.85546875" customWidth="1"/>
    <col min="7175" max="7175" width="5.42578125" customWidth="1"/>
    <col min="7176" max="7176" width="49.5703125" customWidth="1"/>
    <col min="7177" max="7177" width="18" customWidth="1"/>
    <col min="7178" max="7178" width="17.140625" customWidth="1"/>
    <col min="7179" max="7179" width="16.5703125" customWidth="1"/>
    <col min="7425" max="7425" width="5.85546875" customWidth="1"/>
    <col min="7426" max="7426" width="6.7109375" customWidth="1"/>
    <col min="7427" max="7427" width="7" customWidth="1"/>
    <col min="7428" max="7428" width="5.42578125" customWidth="1"/>
    <col min="7429" max="7429" width="5.85546875" customWidth="1"/>
    <col min="7430" max="7430" width="6.85546875" customWidth="1"/>
    <col min="7431" max="7431" width="5.42578125" customWidth="1"/>
    <col min="7432" max="7432" width="49.5703125" customWidth="1"/>
    <col min="7433" max="7433" width="18" customWidth="1"/>
    <col min="7434" max="7434" width="17.140625" customWidth="1"/>
    <col min="7435" max="7435" width="16.5703125" customWidth="1"/>
    <col min="7681" max="7681" width="5.85546875" customWidth="1"/>
    <col min="7682" max="7682" width="6.7109375" customWidth="1"/>
    <col min="7683" max="7683" width="7" customWidth="1"/>
    <col min="7684" max="7684" width="5.42578125" customWidth="1"/>
    <col min="7685" max="7685" width="5.85546875" customWidth="1"/>
    <col min="7686" max="7686" width="6.85546875" customWidth="1"/>
    <col min="7687" max="7687" width="5.42578125" customWidth="1"/>
    <col min="7688" max="7688" width="49.5703125" customWidth="1"/>
    <col min="7689" max="7689" width="18" customWidth="1"/>
    <col min="7690" max="7690" width="17.140625" customWidth="1"/>
    <col min="7691" max="7691" width="16.5703125" customWidth="1"/>
    <col min="7937" max="7937" width="5.85546875" customWidth="1"/>
    <col min="7938" max="7938" width="6.7109375" customWidth="1"/>
    <col min="7939" max="7939" width="7" customWidth="1"/>
    <col min="7940" max="7940" width="5.42578125" customWidth="1"/>
    <col min="7941" max="7941" width="5.85546875" customWidth="1"/>
    <col min="7942" max="7942" width="6.85546875" customWidth="1"/>
    <col min="7943" max="7943" width="5.42578125" customWidth="1"/>
    <col min="7944" max="7944" width="49.5703125" customWidth="1"/>
    <col min="7945" max="7945" width="18" customWidth="1"/>
    <col min="7946" max="7946" width="17.140625" customWidth="1"/>
    <col min="7947" max="7947" width="16.5703125" customWidth="1"/>
    <col min="8193" max="8193" width="5.85546875" customWidth="1"/>
    <col min="8194" max="8194" width="6.7109375" customWidth="1"/>
    <col min="8195" max="8195" width="7" customWidth="1"/>
    <col min="8196" max="8196" width="5.42578125" customWidth="1"/>
    <col min="8197" max="8197" width="5.85546875" customWidth="1"/>
    <col min="8198" max="8198" width="6.85546875" customWidth="1"/>
    <col min="8199" max="8199" width="5.42578125" customWidth="1"/>
    <col min="8200" max="8200" width="49.5703125" customWidth="1"/>
    <col min="8201" max="8201" width="18" customWidth="1"/>
    <col min="8202" max="8202" width="17.140625" customWidth="1"/>
    <col min="8203" max="8203" width="16.5703125" customWidth="1"/>
    <col min="8449" max="8449" width="5.85546875" customWidth="1"/>
    <col min="8450" max="8450" width="6.7109375" customWidth="1"/>
    <col min="8451" max="8451" width="7" customWidth="1"/>
    <col min="8452" max="8452" width="5.42578125" customWidth="1"/>
    <col min="8453" max="8453" width="5.85546875" customWidth="1"/>
    <col min="8454" max="8454" width="6.85546875" customWidth="1"/>
    <col min="8455" max="8455" width="5.42578125" customWidth="1"/>
    <col min="8456" max="8456" width="49.5703125" customWidth="1"/>
    <col min="8457" max="8457" width="18" customWidth="1"/>
    <col min="8458" max="8458" width="17.140625" customWidth="1"/>
    <col min="8459" max="8459" width="16.5703125" customWidth="1"/>
    <col min="8705" max="8705" width="5.85546875" customWidth="1"/>
    <col min="8706" max="8706" width="6.7109375" customWidth="1"/>
    <col min="8707" max="8707" width="7" customWidth="1"/>
    <col min="8708" max="8708" width="5.42578125" customWidth="1"/>
    <col min="8709" max="8709" width="5.85546875" customWidth="1"/>
    <col min="8710" max="8710" width="6.85546875" customWidth="1"/>
    <col min="8711" max="8711" width="5.42578125" customWidth="1"/>
    <col min="8712" max="8712" width="49.5703125" customWidth="1"/>
    <col min="8713" max="8713" width="18" customWidth="1"/>
    <col min="8714" max="8714" width="17.140625" customWidth="1"/>
    <col min="8715" max="8715" width="16.5703125" customWidth="1"/>
    <col min="8961" max="8961" width="5.85546875" customWidth="1"/>
    <col min="8962" max="8962" width="6.7109375" customWidth="1"/>
    <col min="8963" max="8963" width="7" customWidth="1"/>
    <col min="8964" max="8964" width="5.42578125" customWidth="1"/>
    <col min="8965" max="8965" width="5.85546875" customWidth="1"/>
    <col min="8966" max="8966" width="6.85546875" customWidth="1"/>
    <col min="8967" max="8967" width="5.42578125" customWidth="1"/>
    <col min="8968" max="8968" width="49.5703125" customWidth="1"/>
    <col min="8969" max="8969" width="18" customWidth="1"/>
    <col min="8970" max="8970" width="17.140625" customWidth="1"/>
    <col min="8971" max="8971" width="16.5703125" customWidth="1"/>
    <col min="9217" max="9217" width="5.85546875" customWidth="1"/>
    <col min="9218" max="9218" width="6.7109375" customWidth="1"/>
    <col min="9219" max="9219" width="7" customWidth="1"/>
    <col min="9220" max="9220" width="5.42578125" customWidth="1"/>
    <col min="9221" max="9221" width="5.85546875" customWidth="1"/>
    <col min="9222" max="9222" width="6.85546875" customWidth="1"/>
    <col min="9223" max="9223" width="5.42578125" customWidth="1"/>
    <col min="9224" max="9224" width="49.5703125" customWidth="1"/>
    <col min="9225" max="9225" width="18" customWidth="1"/>
    <col min="9226" max="9226" width="17.140625" customWidth="1"/>
    <col min="9227" max="9227" width="16.5703125" customWidth="1"/>
    <col min="9473" max="9473" width="5.85546875" customWidth="1"/>
    <col min="9474" max="9474" width="6.7109375" customWidth="1"/>
    <col min="9475" max="9475" width="7" customWidth="1"/>
    <col min="9476" max="9476" width="5.42578125" customWidth="1"/>
    <col min="9477" max="9477" width="5.85546875" customWidth="1"/>
    <col min="9478" max="9478" width="6.85546875" customWidth="1"/>
    <col min="9479" max="9479" width="5.42578125" customWidth="1"/>
    <col min="9480" max="9480" width="49.5703125" customWidth="1"/>
    <col min="9481" max="9481" width="18" customWidth="1"/>
    <col min="9482" max="9482" width="17.140625" customWidth="1"/>
    <col min="9483" max="9483" width="16.5703125" customWidth="1"/>
    <col min="9729" max="9729" width="5.85546875" customWidth="1"/>
    <col min="9730" max="9730" width="6.7109375" customWidth="1"/>
    <col min="9731" max="9731" width="7" customWidth="1"/>
    <col min="9732" max="9732" width="5.42578125" customWidth="1"/>
    <col min="9733" max="9733" width="5.85546875" customWidth="1"/>
    <col min="9734" max="9734" width="6.85546875" customWidth="1"/>
    <col min="9735" max="9735" width="5.42578125" customWidth="1"/>
    <col min="9736" max="9736" width="49.5703125" customWidth="1"/>
    <col min="9737" max="9737" width="18" customWidth="1"/>
    <col min="9738" max="9738" width="17.140625" customWidth="1"/>
    <col min="9739" max="9739" width="16.5703125" customWidth="1"/>
    <col min="9985" max="9985" width="5.85546875" customWidth="1"/>
    <col min="9986" max="9986" width="6.7109375" customWidth="1"/>
    <col min="9987" max="9987" width="7" customWidth="1"/>
    <col min="9988" max="9988" width="5.42578125" customWidth="1"/>
    <col min="9989" max="9989" width="5.85546875" customWidth="1"/>
    <col min="9990" max="9990" width="6.85546875" customWidth="1"/>
    <col min="9991" max="9991" width="5.42578125" customWidth="1"/>
    <col min="9992" max="9992" width="49.5703125" customWidth="1"/>
    <col min="9993" max="9993" width="18" customWidth="1"/>
    <col min="9994" max="9994" width="17.140625" customWidth="1"/>
    <col min="9995" max="9995" width="16.5703125" customWidth="1"/>
    <col min="10241" max="10241" width="5.85546875" customWidth="1"/>
    <col min="10242" max="10242" width="6.7109375" customWidth="1"/>
    <col min="10243" max="10243" width="7" customWidth="1"/>
    <col min="10244" max="10244" width="5.42578125" customWidth="1"/>
    <col min="10245" max="10245" width="5.85546875" customWidth="1"/>
    <col min="10246" max="10246" width="6.85546875" customWidth="1"/>
    <col min="10247" max="10247" width="5.42578125" customWidth="1"/>
    <col min="10248" max="10248" width="49.5703125" customWidth="1"/>
    <col min="10249" max="10249" width="18" customWidth="1"/>
    <col min="10250" max="10250" width="17.140625" customWidth="1"/>
    <col min="10251" max="10251" width="16.5703125" customWidth="1"/>
    <col min="10497" max="10497" width="5.85546875" customWidth="1"/>
    <col min="10498" max="10498" width="6.7109375" customWidth="1"/>
    <col min="10499" max="10499" width="7" customWidth="1"/>
    <col min="10500" max="10500" width="5.42578125" customWidth="1"/>
    <col min="10501" max="10501" width="5.85546875" customWidth="1"/>
    <col min="10502" max="10502" width="6.85546875" customWidth="1"/>
    <col min="10503" max="10503" width="5.42578125" customWidth="1"/>
    <col min="10504" max="10504" width="49.5703125" customWidth="1"/>
    <col min="10505" max="10505" width="18" customWidth="1"/>
    <col min="10506" max="10506" width="17.140625" customWidth="1"/>
    <col min="10507" max="10507" width="16.5703125" customWidth="1"/>
    <col min="10753" max="10753" width="5.85546875" customWidth="1"/>
    <col min="10754" max="10754" width="6.7109375" customWidth="1"/>
    <col min="10755" max="10755" width="7" customWidth="1"/>
    <col min="10756" max="10756" width="5.42578125" customWidth="1"/>
    <col min="10757" max="10757" width="5.85546875" customWidth="1"/>
    <col min="10758" max="10758" width="6.85546875" customWidth="1"/>
    <col min="10759" max="10759" width="5.42578125" customWidth="1"/>
    <col min="10760" max="10760" width="49.5703125" customWidth="1"/>
    <col min="10761" max="10761" width="18" customWidth="1"/>
    <col min="10762" max="10762" width="17.140625" customWidth="1"/>
    <col min="10763" max="10763" width="16.5703125" customWidth="1"/>
    <col min="11009" max="11009" width="5.85546875" customWidth="1"/>
    <col min="11010" max="11010" width="6.7109375" customWidth="1"/>
    <col min="11011" max="11011" width="7" customWidth="1"/>
    <col min="11012" max="11012" width="5.42578125" customWidth="1"/>
    <col min="11013" max="11013" width="5.85546875" customWidth="1"/>
    <col min="11014" max="11014" width="6.85546875" customWidth="1"/>
    <col min="11015" max="11015" width="5.42578125" customWidth="1"/>
    <col min="11016" max="11016" width="49.5703125" customWidth="1"/>
    <col min="11017" max="11017" width="18" customWidth="1"/>
    <col min="11018" max="11018" width="17.140625" customWidth="1"/>
    <col min="11019" max="11019" width="16.5703125" customWidth="1"/>
    <col min="11265" max="11265" width="5.85546875" customWidth="1"/>
    <col min="11266" max="11266" width="6.7109375" customWidth="1"/>
    <col min="11267" max="11267" width="7" customWidth="1"/>
    <col min="11268" max="11268" width="5.42578125" customWidth="1"/>
    <col min="11269" max="11269" width="5.85546875" customWidth="1"/>
    <col min="11270" max="11270" width="6.85546875" customWidth="1"/>
    <col min="11271" max="11271" width="5.42578125" customWidth="1"/>
    <col min="11272" max="11272" width="49.5703125" customWidth="1"/>
    <col min="11273" max="11273" width="18" customWidth="1"/>
    <col min="11274" max="11274" width="17.140625" customWidth="1"/>
    <col min="11275" max="11275" width="16.5703125" customWidth="1"/>
    <col min="11521" max="11521" width="5.85546875" customWidth="1"/>
    <col min="11522" max="11522" width="6.7109375" customWidth="1"/>
    <col min="11523" max="11523" width="7" customWidth="1"/>
    <col min="11524" max="11524" width="5.42578125" customWidth="1"/>
    <col min="11525" max="11525" width="5.85546875" customWidth="1"/>
    <col min="11526" max="11526" width="6.85546875" customWidth="1"/>
    <col min="11527" max="11527" width="5.42578125" customWidth="1"/>
    <col min="11528" max="11528" width="49.5703125" customWidth="1"/>
    <col min="11529" max="11529" width="18" customWidth="1"/>
    <col min="11530" max="11530" width="17.140625" customWidth="1"/>
    <col min="11531" max="11531" width="16.5703125" customWidth="1"/>
    <col min="11777" max="11777" width="5.85546875" customWidth="1"/>
    <col min="11778" max="11778" width="6.7109375" customWidth="1"/>
    <col min="11779" max="11779" width="7" customWidth="1"/>
    <col min="11780" max="11780" width="5.42578125" customWidth="1"/>
    <col min="11781" max="11781" width="5.85546875" customWidth="1"/>
    <col min="11782" max="11782" width="6.85546875" customWidth="1"/>
    <col min="11783" max="11783" width="5.42578125" customWidth="1"/>
    <col min="11784" max="11784" width="49.5703125" customWidth="1"/>
    <col min="11785" max="11785" width="18" customWidth="1"/>
    <col min="11786" max="11786" width="17.140625" customWidth="1"/>
    <col min="11787" max="11787" width="16.5703125" customWidth="1"/>
    <col min="12033" max="12033" width="5.85546875" customWidth="1"/>
    <col min="12034" max="12034" width="6.7109375" customWidth="1"/>
    <col min="12035" max="12035" width="7" customWidth="1"/>
    <col min="12036" max="12036" width="5.42578125" customWidth="1"/>
    <col min="12037" max="12037" width="5.85546875" customWidth="1"/>
    <col min="12038" max="12038" width="6.85546875" customWidth="1"/>
    <col min="12039" max="12039" width="5.42578125" customWidth="1"/>
    <col min="12040" max="12040" width="49.5703125" customWidth="1"/>
    <col min="12041" max="12041" width="18" customWidth="1"/>
    <col min="12042" max="12042" width="17.140625" customWidth="1"/>
    <col min="12043" max="12043" width="16.5703125" customWidth="1"/>
    <col min="12289" max="12289" width="5.85546875" customWidth="1"/>
    <col min="12290" max="12290" width="6.7109375" customWidth="1"/>
    <col min="12291" max="12291" width="7" customWidth="1"/>
    <col min="12292" max="12292" width="5.42578125" customWidth="1"/>
    <col min="12293" max="12293" width="5.85546875" customWidth="1"/>
    <col min="12294" max="12294" width="6.85546875" customWidth="1"/>
    <col min="12295" max="12295" width="5.42578125" customWidth="1"/>
    <col min="12296" max="12296" width="49.5703125" customWidth="1"/>
    <col min="12297" max="12297" width="18" customWidth="1"/>
    <col min="12298" max="12298" width="17.140625" customWidth="1"/>
    <col min="12299" max="12299" width="16.5703125" customWidth="1"/>
    <col min="12545" max="12545" width="5.85546875" customWidth="1"/>
    <col min="12546" max="12546" width="6.7109375" customWidth="1"/>
    <col min="12547" max="12547" width="7" customWidth="1"/>
    <col min="12548" max="12548" width="5.42578125" customWidth="1"/>
    <col min="12549" max="12549" width="5.85546875" customWidth="1"/>
    <col min="12550" max="12550" width="6.85546875" customWidth="1"/>
    <col min="12551" max="12551" width="5.42578125" customWidth="1"/>
    <col min="12552" max="12552" width="49.5703125" customWidth="1"/>
    <col min="12553" max="12553" width="18" customWidth="1"/>
    <col min="12554" max="12554" width="17.140625" customWidth="1"/>
    <col min="12555" max="12555" width="16.5703125" customWidth="1"/>
    <col min="12801" max="12801" width="5.85546875" customWidth="1"/>
    <col min="12802" max="12802" width="6.7109375" customWidth="1"/>
    <col min="12803" max="12803" width="7" customWidth="1"/>
    <col min="12804" max="12804" width="5.42578125" customWidth="1"/>
    <col min="12805" max="12805" width="5.85546875" customWidth="1"/>
    <col min="12806" max="12806" width="6.85546875" customWidth="1"/>
    <col min="12807" max="12807" width="5.42578125" customWidth="1"/>
    <col min="12808" max="12808" width="49.5703125" customWidth="1"/>
    <col min="12809" max="12809" width="18" customWidth="1"/>
    <col min="12810" max="12810" width="17.140625" customWidth="1"/>
    <col min="12811" max="12811" width="16.5703125" customWidth="1"/>
    <col min="13057" max="13057" width="5.85546875" customWidth="1"/>
    <col min="13058" max="13058" width="6.7109375" customWidth="1"/>
    <col min="13059" max="13059" width="7" customWidth="1"/>
    <col min="13060" max="13060" width="5.42578125" customWidth="1"/>
    <col min="13061" max="13061" width="5.85546875" customWidth="1"/>
    <col min="13062" max="13062" width="6.85546875" customWidth="1"/>
    <col min="13063" max="13063" width="5.42578125" customWidth="1"/>
    <col min="13064" max="13064" width="49.5703125" customWidth="1"/>
    <col min="13065" max="13065" width="18" customWidth="1"/>
    <col min="13066" max="13066" width="17.140625" customWidth="1"/>
    <col min="13067" max="13067" width="16.5703125" customWidth="1"/>
    <col min="13313" max="13313" width="5.85546875" customWidth="1"/>
    <col min="13314" max="13314" width="6.7109375" customWidth="1"/>
    <col min="13315" max="13315" width="7" customWidth="1"/>
    <col min="13316" max="13316" width="5.42578125" customWidth="1"/>
    <col min="13317" max="13317" width="5.85546875" customWidth="1"/>
    <col min="13318" max="13318" width="6.85546875" customWidth="1"/>
    <col min="13319" max="13319" width="5.42578125" customWidth="1"/>
    <col min="13320" max="13320" width="49.5703125" customWidth="1"/>
    <col min="13321" max="13321" width="18" customWidth="1"/>
    <col min="13322" max="13322" width="17.140625" customWidth="1"/>
    <col min="13323" max="13323" width="16.5703125" customWidth="1"/>
    <col min="13569" max="13569" width="5.85546875" customWidth="1"/>
    <col min="13570" max="13570" width="6.7109375" customWidth="1"/>
    <col min="13571" max="13571" width="7" customWidth="1"/>
    <col min="13572" max="13572" width="5.42578125" customWidth="1"/>
    <col min="13573" max="13573" width="5.85546875" customWidth="1"/>
    <col min="13574" max="13574" width="6.85546875" customWidth="1"/>
    <col min="13575" max="13575" width="5.42578125" customWidth="1"/>
    <col min="13576" max="13576" width="49.5703125" customWidth="1"/>
    <col min="13577" max="13577" width="18" customWidth="1"/>
    <col min="13578" max="13578" width="17.140625" customWidth="1"/>
    <col min="13579" max="13579" width="16.5703125" customWidth="1"/>
    <col min="13825" max="13825" width="5.85546875" customWidth="1"/>
    <col min="13826" max="13826" width="6.7109375" customWidth="1"/>
    <col min="13827" max="13827" width="7" customWidth="1"/>
    <col min="13828" max="13828" width="5.42578125" customWidth="1"/>
    <col min="13829" max="13829" width="5.85546875" customWidth="1"/>
    <col min="13830" max="13830" width="6.85546875" customWidth="1"/>
    <col min="13831" max="13831" width="5.42578125" customWidth="1"/>
    <col min="13832" max="13832" width="49.5703125" customWidth="1"/>
    <col min="13833" max="13833" width="18" customWidth="1"/>
    <col min="13834" max="13834" width="17.140625" customWidth="1"/>
    <col min="13835" max="13835" width="16.5703125" customWidth="1"/>
    <col min="14081" max="14081" width="5.85546875" customWidth="1"/>
    <col min="14082" max="14082" width="6.7109375" customWidth="1"/>
    <col min="14083" max="14083" width="7" customWidth="1"/>
    <col min="14084" max="14084" width="5.42578125" customWidth="1"/>
    <col min="14085" max="14085" width="5.85546875" customWidth="1"/>
    <col min="14086" max="14086" width="6.85546875" customWidth="1"/>
    <col min="14087" max="14087" width="5.42578125" customWidth="1"/>
    <col min="14088" max="14088" width="49.5703125" customWidth="1"/>
    <col min="14089" max="14089" width="18" customWidth="1"/>
    <col min="14090" max="14090" width="17.140625" customWidth="1"/>
    <col min="14091" max="14091" width="16.5703125" customWidth="1"/>
    <col min="14337" max="14337" width="5.85546875" customWidth="1"/>
    <col min="14338" max="14338" width="6.7109375" customWidth="1"/>
    <col min="14339" max="14339" width="7" customWidth="1"/>
    <col min="14340" max="14340" width="5.42578125" customWidth="1"/>
    <col min="14341" max="14341" width="5.85546875" customWidth="1"/>
    <col min="14342" max="14342" width="6.85546875" customWidth="1"/>
    <col min="14343" max="14343" width="5.42578125" customWidth="1"/>
    <col min="14344" max="14344" width="49.5703125" customWidth="1"/>
    <col min="14345" max="14345" width="18" customWidth="1"/>
    <col min="14346" max="14346" width="17.140625" customWidth="1"/>
    <col min="14347" max="14347" width="16.5703125" customWidth="1"/>
    <col min="14593" max="14593" width="5.85546875" customWidth="1"/>
    <col min="14594" max="14594" width="6.7109375" customWidth="1"/>
    <col min="14595" max="14595" width="7" customWidth="1"/>
    <col min="14596" max="14596" width="5.42578125" customWidth="1"/>
    <col min="14597" max="14597" width="5.85546875" customWidth="1"/>
    <col min="14598" max="14598" width="6.85546875" customWidth="1"/>
    <col min="14599" max="14599" width="5.42578125" customWidth="1"/>
    <col min="14600" max="14600" width="49.5703125" customWidth="1"/>
    <col min="14601" max="14601" width="18" customWidth="1"/>
    <col min="14602" max="14602" width="17.140625" customWidth="1"/>
    <col min="14603" max="14603" width="16.5703125" customWidth="1"/>
    <col min="14849" max="14849" width="5.85546875" customWidth="1"/>
    <col min="14850" max="14850" width="6.7109375" customWidth="1"/>
    <col min="14851" max="14851" width="7" customWidth="1"/>
    <col min="14852" max="14852" width="5.42578125" customWidth="1"/>
    <col min="14853" max="14853" width="5.85546875" customWidth="1"/>
    <col min="14854" max="14854" width="6.85546875" customWidth="1"/>
    <col min="14855" max="14855" width="5.42578125" customWidth="1"/>
    <col min="14856" max="14856" width="49.5703125" customWidth="1"/>
    <col min="14857" max="14857" width="18" customWidth="1"/>
    <col min="14858" max="14858" width="17.140625" customWidth="1"/>
    <col min="14859" max="14859" width="16.5703125" customWidth="1"/>
    <col min="15105" max="15105" width="5.85546875" customWidth="1"/>
    <col min="15106" max="15106" width="6.7109375" customWidth="1"/>
    <col min="15107" max="15107" width="7" customWidth="1"/>
    <col min="15108" max="15108" width="5.42578125" customWidth="1"/>
    <col min="15109" max="15109" width="5.85546875" customWidth="1"/>
    <col min="15110" max="15110" width="6.85546875" customWidth="1"/>
    <col min="15111" max="15111" width="5.42578125" customWidth="1"/>
    <col min="15112" max="15112" width="49.5703125" customWidth="1"/>
    <col min="15113" max="15113" width="18" customWidth="1"/>
    <col min="15114" max="15114" width="17.140625" customWidth="1"/>
    <col min="15115" max="15115" width="16.5703125" customWidth="1"/>
    <col min="15361" max="15361" width="5.85546875" customWidth="1"/>
    <col min="15362" max="15362" width="6.7109375" customWidth="1"/>
    <col min="15363" max="15363" width="7" customWidth="1"/>
    <col min="15364" max="15364" width="5.42578125" customWidth="1"/>
    <col min="15365" max="15365" width="5.85546875" customWidth="1"/>
    <col min="15366" max="15366" width="6.85546875" customWidth="1"/>
    <col min="15367" max="15367" width="5.42578125" customWidth="1"/>
    <col min="15368" max="15368" width="49.5703125" customWidth="1"/>
    <col min="15369" max="15369" width="18" customWidth="1"/>
    <col min="15370" max="15370" width="17.140625" customWidth="1"/>
    <col min="15371" max="15371" width="16.5703125" customWidth="1"/>
    <col min="15617" max="15617" width="5.85546875" customWidth="1"/>
    <col min="15618" max="15618" width="6.7109375" customWidth="1"/>
    <col min="15619" max="15619" width="7" customWidth="1"/>
    <col min="15620" max="15620" width="5.42578125" customWidth="1"/>
    <col min="15621" max="15621" width="5.85546875" customWidth="1"/>
    <col min="15622" max="15622" width="6.85546875" customWidth="1"/>
    <col min="15623" max="15623" width="5.42578125" customWidth="1"/>
    <col min="15624" max="15624" width="49.5703125" customWidth="1"/>
    <col min="15625" max="15625" width="18" customWidth="1"/>
    <col min="15626" max="15626" width="17.140625" customWidth="1"/>
    <col min="15627" max="15627" width="16.5703125" customWidth="1"/>
    <col min="15873" max="15873" width="5.85546875" customWidth="1"/>
    <col min="15874" max="15874" width="6.7109375" customWidth="1"/>
    <col min="15875" max="15875" width="7" customWidth="1"/>
    <col min="15876" max="15876" width="5.42578125" customWidth="1"/>
    <col min="15877" max="15877" width="5.85546875" customWidth="1"/>
    <col min="15878" max="15878" width="6.85546875" customWidth="1"/>
    <col min="15879" max="15879" width="5.42578125" customWidth="1"/>
    <col min="15880" max="15880" width="49.5703125" customWidth="1"/>
    <col min="15881" max="15881" width="18" customWidth="1"/>
    <col min="15882" max="15882" width="17.140625" customWidth="1"/>
    <col min="15883" max="15883" width="16.5703125" customWidth="1"/>
    <col min="16129" max="16129" width="5.85546875" customWidth="1"/>
    <col min="16130" max="16130" width="6.7109375" customWidth="1"/>
    <col min="16131" max="16131" width="7" customWidth="1"/>
    <col min="16132" max="16132" width="5.42578125" customWidth="1"/>
    <col min="16133" max="16133" width="5.85546875" customWidth="1"/>
    <col min="16134" max="16134" width="6.85546875" customWidth="1"/>
    <col min="16135" max="16135" width="5.42578125" customWidth="1"/>
    <col min="16136" max="16136" width="49.5703125" customWidth="1"/>
    <col min="16137" max="16137" width="18" customWidth="1"/>
    <col min="16138" max="16138" width="17.140625" customWidth="1"/>
    <col min="16139" max="16139" width="16.5703125" customWidth="1"/>
  </cols>
  <sheetData>
    <row r="1" spans="1:10" ht="18.75" x14ac:dyDescent="0.3">
      <c r="E1" s="85"/>
      <c r="H1" s="247" t="s">
        <v>902</v>
      </c>
      <c r="I1" s="247"/>
      <c r="J1" s="270"/>
    </row>
    <row r="2" spans="1:10" ht="18.75" x14ac:dyDescent="0.3">
      <c r="E2" s="85"/>
      <c r="H2" s="247" t="s">
        <v>619</v>
      </c>
      <c r="I2" s="247"/>
      <c r="J2" s="270"/>
    </row>
    <row r="3" spans="1:10" ht="18.75" x14ac:dyDescent="0.3">
      <c r="E3" s="85"/>
      <c r="H3" s="247" t="s">
        <v>620</v>
      </c>
      <c r="I3" s="247"/>
      <c r="J3" s="270"/>
    </row>
    <row r="4" spans="1:10" ht="18.75" x14ac:dyDescent="0.3">
      <c r="A4" s="250" t="str">
        <f>'Прил 1 (Доходы)'!A4:C4</f>
        <v>от 28 ноября 2019 г. № 36</v>
      </c>
      <c r="B4" s="250"/>
      <c r="C4" s="250"/>
      <c r="D4" s="250"/>
      <c r="E4" s="250"/>
      <c r="F4" s="250"/>
      <c r="G4" s="250"/>
      <c r="H4" s="250"/>
      <c r="I4" s="250"/>
      <c r="J4" s="250"/>
    </row>
    <row r="6" spans="1:10" ht="18.75" x14ac:dyDescent="0.3">
      <c r="A6" s="85"/>
      <c r="B6" s="85"/>
      <c r="C6" s="85"/>
      <c r="D6" s="85"/>
      <c r="E6" s="85"/>
      <c r="F6" s="85"/>
      <c r="G6" s="85"/>
      <c r="H6" s="247" t="s">
        <v>618</v>
      </c>
      <c r="I6" s="247"/>
      <c r="J6" s="270"/>
    </row>
    <row r="7" spans="1:10" ht="18.75" x14ac:dyDescent="0.3">
      <c r="A7" s="85"/>
      <c r="B7" s="85"/>
      <c r="C7" s="85"/>
      <c r="D7" s="85"/>
      <c r="E7" s="85"/>
      <c r="F7" s="85"/>
      <c r="G7" s="85"/>
      <c r="H7" s="247" t="s">
        <v>619</v>
      </c>
      <c r="I7" s="247"/>
      <c r="J7" s="270"/>
    </row>
    <row r="8" spans="1:10" ht="18.75" x14ac:dyDescent="0.3">
      <c r="A8" s="85"/>
      <c r="B8" s="85"/>
      <c r="C8" s="85"/>
      <c r="D8" s="85"/>
      <c r="E8" s="85"/>
      <c r="F8" s="85"/>
      <c r="G8" s="85"/>
      <c r="H8" s="247" t="s">
        <v>620</v>
      </c>
      <c r="I8" s="247"/>
      <c r="J8" s="270"/>
    </row>
    <row r="9" spans="1:10" ht="18.75" x14ac:dyDescent="0.3">
      <c r="A9" s="85"/>
      <c r="B9" s="85"/>
      <c r="C9" s="85"/>
      <c r="D9" s="85"/>
      <c r="E9" s="85"/>
      <c r="F9" s="85"/>
      <c r="G9" s="85"/>
      <c r="H9" s="247" t="s">
        <v>621</v>
      </c>
      <c r="I9" s="247"/>
      <c r="J9" s="270"/>
    </row>
    <row r="10" spans="1:10" ht="18.75" x14ac:dyDescent="0.3">
      <c r="A10" s="85"/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8.75" x14ac:dyDescent="0.3">
      <c r="A11" s="271" t="s">
        <v>233</v>
      </c>
      <c r="B11" s="272"/>
      <c r="C11" s="272"/>
      <c r="D11" s="272"/>
      <c r="E11" s="272"/>
      <c r="F11" s="272"/>
      <c r="G11" s="272"/>
      <c r="H11" s="272"/>
      <c r="I11" s="272"/>
      <c r="J11" s="85"/>
    </row>
    <row r="12" spans="1:10" ht="18.75" x14ac:dyDescent="0.3">
      <c r="A12" s="271" t="s">
        <v>622</v>
      </c>
      <c r="B12" s="272"/>
      <c r="C12" s="272"/>
      <c r="D12" s="272"/>
      <c r="E12" s="272"/>
      <c r="F12" s="272"/>
      <c r="G12" s="272"/>
      <c r="H12" s="272"/>
      <c r="I12" s="272"/>
      <c r="J12" s="273"/>
    </row>
    <row r="13" spans="1:10" ht="18.75" x14ac:dyDescent="0.3">
      <c r="A13" s="85"/>
      <c r="B13" s="85"/>
      <c r="C13" s="85"/>
      <c r="D13" s="85"/>
      <c r="E13" s="85"/>
      <c r="F13" s="85"/>
      <c r="G13" s="85"/>
      <c r="H13" s="274"/>
      <c r="I13" s="274"/>
      <c r="J13" s="85"/>
    </row>
    <row r="14" spans="1:10" ht="18.75" x14ac:dyDescent="0.3">
      <c r="A14" s="85"/>
      <c r="B14" s="85"/>
      <c r="C14" s="85"/>
      <c r="D14" s="85"/>
      <c r="E14" s="85"/>
      <c r="F14" s="85"/>
      <c r="G14" s="85"/>
      <c r="H14" s="85"/>
      <c r="I14" s="177"/>
      <c r="J14" s="85"/>
    </row>
    <row r="15" spans="1:10" ht="18.75" x14ac:dyDescent="0.3">
      <c r="A15" s="178"/>
      <c r="B15" s="179"/>
      <c r="C15" s="179"/>
      <c r="D15" s="179"/>
      <c r="E15" s="179"/>
      <c r="F15" s="179"/>
      <c r="G15" s="179"/>
      <c r="H15" s="180"/>
      <c r="I15" s="275" t="s">
        <v>237</v>
      </c>
      <c r="J15" s="276"/>
    </row>
    <row r="16" spans="1:10" ht="18.75" x14ac:dyDescent="0.3">
      <c r="A16" s="267" t="s">
        <v>235</v>
      </c>
      <c r="B16" s="268"/>
      <c r="C16" s="268"/>
      <c r="D16" s="268"/>
      <c r="E16" s="268"/>
      <c r="F16" s="268"/>
      <c r="G16" s="268"/>
      <c r="H16" s="181" t="s">
        <v>236</v>
      </c>
      <c r="I16" s="182" t="s">
        <v>623</v>
      </c>
      <c r="J16" s="183" t="s">
        <v>624</v>
      </c>
    </row>
    <row r="17" spans="1:10" s="4" customFormat="1" ht="11.25" x14ac:dyDescent="0.2">
      <c r="A17" s="269">
        <v>1</v>
      </c>
      <c r="B17" s="269"/>
      <c r="C17" s="269"/>
      <c r="D17" s="269"/>
      <c r="E17" s="269"/>
      <c r="F17" s="269"/>
      <c r="G17" s="269"/>
      <c r="H17" s="184">
        <v>2</v>
      </c>
      <c r="I17" s="185">
        <v>3</v>
      </c>
      <c r="J17" s="186">
        <v>4</v>
      </c>
    </row>
    <row r="18" spans="1:10" ht="56.25" x14ac:dyDescent="0.25">
      <c r="A18" s="187" t="s">
        <v>238</v>
      </c>
      <c r="B18" s="188" t="s">
        <v>239</v>
      </c>
      <c r="C18" s="188" t="s">
        <v>239</v>
      </c>
      <c r="D18" s="188" t="s">
        <v>239</v>
      </c>
      <c r="E18" s="188" t="s">
        <v>239</v>
      </c>
      <c r="F18" s="188" t="s">
        <v>240</v>
      </c>
      <c r="G18" s="189" t="s">
        <v>6</v>
      </c>
      <c r="H18" s="190" t="s">
        <v>241</v>
      </c>
      <c r="I18" s="191">
        <f>SUM(I19,)</f>
        <v>81649.803999999887</v>
      </c>
      <c r="J18" s="191">
        <f>SUM(J19,)</f>
        <v>82567.402000000002</v>
      </c>
    </row>
    <row r="19" spans="1:10" ht="37.5" x14ac:dyDescent="0.25">
      <c r="A19" s="187" t="s">
        <v>238</v>
      </c>
      <c r="B19" s="188" t="s">
        <v>242</v>
      </c>
      <c r="C19" s="188" t="s">
        <v>239</v>
      </c>
      <c r="D19" s="188" t="s">
        <v>239</v>
      </c>
      <c r="E19" s="188" t="s">
        <v>239</v>
      </c>
      <c r="F19" s="188" t="s">
        <v>240</v>
      </c>
      <c r="G19" s="189" t="s">
        <v>6</v>
      </c>
      <c r="H19" s="190" t="s">
        <v>243</v>
      </c>
      <c r="I19" s="192">
        <f>SUM(I24,I21)</f>
        <v>81649.803999999887</v>
      </c>
      <c r="J19" s="192">
        <f>SUM(J24,J21)</f>
        <v>82567.402000000002</v>
      </c>
    </row>
    <row r="20" spans="1:10" ht="18.75" x14ac:dyDescent="0.25">
      <c r="A20" s="187" t="s">
        <v>238</v>
      </c>
      <c r="B20" s="188" t="s">
        <v>242</v>
      </c>
      <c r="C20" s="188" t="s">
        <v>239</v>
      </c>
      <c r="D20" s="188" t="s">
        <v>239</v>
      </c>
      <c r="E20" s="188" t="s">
        <v>239</v>
      </c>
      <c r="F20" s="188" t="s">
        <v>240</v>
      </c>
      <c r="G20" s="189" t="s">
        <v>47</v>
      </c>
      <c r="H20" s="193" t="s">
        <v>244</v>
      </c>
      <c r="I20" s="192">
        <f t="shared" ref="I20:J22" si="0">SUM(I21)</f>
        <v>-549051.97100000014</v>
      </c>
      <c r="J20" s="192">
        <f t="shared" si="0"/>
        <v>-545559.73300000001</v>
      </c>
    </row>
    <row r="21" spans="1:10" ht="37.5" x14ac:dyDescent="0.25">
      <c r="A21" s="187" t="s">
        <v>238</v>
      </c>
      <c r="B21" s="188" t="s">
        <v>242</v>
      </c>
      <c r="C21" s="188" t="s">
        <v>245</v>
      </c>
      <c r="D21" s="188" t="s">
        <v>239</v>
      </c>
      <c r="E21" s="188" t="s">
        <v>239</v>
      </c>
      <c r="F21" s="188" t="s">
        <v>240</v>
      </c>
      <c r="G21" s="189" t="s">
        <v>47</v>
      </c>
      <c r="H21" s="194" t="s">
        <v>246</v>
      </c>
      <c r="I21" s="192">
        <f t="shared" si="0"/>
        <v>-549051.97100000014</v>
      </c>
      <c r="J21" s="192">
        <f t="shared" si="0"/>
        <v>-545559.73300000001</v>
      </c>
    </row>
    <row r="22" spans="1:10" ht="37.5" x14ac:dyDescent="0.25">
      <c r="A22" s="187" t="s">
        <v>238</v>
      </c>
      <c r="B22" s="188" t="s">
        <v>242</v>
      </c>
      <c r="C22" s="188" t="s">
        <v>245</v>
      </c>
      <c r="D22" s="188" t="s">
        <v>238</v>
      </c>
      <c r="E22" s="188" t="s">
        <v>239</v>
      </c>
      <c r="F22" s="188" t="s">
        <v>240</v>
      </c>
      <c r="G22" s="189" t="s">
        <v>247</v>
      </c>
      <c r="H22" s="194" t="s">
        <v>248</v>
      </c>
      <c r="I22" s="192">
        <f t="shared" si="0"/>
        <v>-549051.97100000014</v>
      </c>
      <c r="J22" s="192">
        <f t="shared" si="0"/>
        <v>-545559.73300000001</v>
      </c>
    </row>
    <row r="23" spans="1:10" ht="56.25" x14ac:dyDescent="0.25">
      <c r="A23" s="187" t="s">
        <v>238</v>
      </c>
      <c r="B23" s="188" t="s">
        <v>242</v>
      </c>
      <c r="C23" s="188" t="s">
        <v>245</v>
      </c>
      <c r="D23" s="188" t="s">
        <v>238</v>
      </c>
      <c r="E23" s="188" t="s">
        <v>242</v>
      </c>
      <c r="F23" s="188" t="s">
        <v>240</v>
      </c>
      <c r="G23" s="189" t="s">
        <v>247</v>
      </c>
      <c r="H23" s="194" t="s">
        <v>249</v>
      </c>
      <c r="I23" s="192">
        <f>-536934.172-2867.699-8827.3-422.8</f>
        <v>-549051.97100000014</v>
      </c>
      <c r="J23" s="192">
        <f>-4179.299-541380.434</f>
        <v>-545559.73300000001</v>
      </c>
    </row>
    <row r="24" spans="1:10" ht="18.75" x14ac:dyDescent="0.25">
      <c r="A24" s="187" t="s">
        <v>238</v>
      </c>
      <c r="B24" s="188" t="s">
        <v>242</v>
      </c>
      <c r="C24" s="188" t="s">
        <v>239</v>
      </c>
      <c r="D24" s="188" t="s">
        <v>239</v>
      </c>
      <c r="E24" s="188" t="s">
        <v>239</v>
      </c>
      <c r="F24" s="188" t="s">
        <v>240</v>
      </c>
      <c r="G24" s="189" t="s">
        <v>106</v>
      </c>
      <c r="H24" s="193" t="s">
        <v>250</v>
      </c>
      <c r="I24" s="192">
        <f t="shared" ref="I24:J26" si="1">SUM(I25)</f>
        <v>630701.77500000002</v>
      </c>
      <c r="J24" s="192">
        <f t="shared" si="1"/>
        <v>628127.13500000001</v>
      </c>
    </row>
    <row r="25" spans="1:10" ht="37.5" x14ac:dyDescent="0.25">
      <c r="A25" s="187" t="s">
        <v>238</v>
      </c>
      <c r="B25" s="188" t="s">
        <v>242</v>
      </c>
      <c r="C25" s="188" t="s">
        <v>245</v>
      </c>
      <c r="D25" s="188" t="s">
        <v>239</v>
      </c>
      <c r="E25" s="188" t="s">
        <v>239</v>
      </c>
      <c r="F25" s="188" t="s">
        <v>240</v>
      </c>
      <c r="G25" s="189" t="s">
        <v>106</v>
      </c>
      <c r="H25" s="194" t="s">
        <v>251</v>
      </c>
      <c r="I25" s="192">
        <f t="shared" si="1"/>
        <v>630701.77500000002</v>
      </c>
      <c r="J25" s="192">
        <f t="shared" si="1"/>
        <v>628127.13500000001</v>
      </c>
    </row>
    <row r="26" spans="1:10" ht="37.5" x14ac:dyDescent="0.25">
      <c r="A26" s="187" t="s">
        <v>238</v>
      </c>
      <c r="B26" s="188" t="s">
        <v>242</v>
      </c>
      <c r="C26" s="188" t="s">
        <v>245</v>
      </c>
      <c r="D26" s="188" t="s">
        <v>238</v>
      </c>
      <c r="E26" s="188" t="s">
        <v>239</v>
      </c>
      <c r="F26" s="188" t="s">
        <v>240</v>
      </c>
      <c r="G26" s="189" t="s">
        <v>252</v>
      </c>
      <c r="H26" s="194" t="s">
        <v>253</v>
      </c>
      <c r="I26" s="192">
        <f t="shared" si="1"/>
        <v>630701.77500000002</v>
      </c>
      <c r="J26" s="192">
        <f t="shared" si="1"/>
        <v>628127.13500000001</v>
      </c>
    </row>
    <row r="27" spans="1:10" ht="56.25" x14ac:dyDescent="0.25">
      <c r="A27" s="187" t="s">
        <v>238</v>
      </c>
      <c r="B27" s="188" t="s">
        <v>242</v>
      </c>
      <c r="C27" s="188" t="s">
        <v>245</v>
      </c>
      <c r="D27" s="188" t="s">
        <v>238</v>
      </c>
      <c r="E27" s="188" t="s">
        <v>242</v>
      </c>
      <c r="F27" s="188" t="s">
        <v>240</v>
      </c>
      <c r="G27" s="189" t="s">
        <v>252</v>
      </c>
      <c r="H27" s="194" t="s">
        <v>254</v>
      </c>
      <c r="I27" s="192">
        <v>630701.77500000002</v>
      </c>
      <c r="J27" s="192">
        <v>628127.13500000001</v>
      </c>
    </row>
    <row r="28" spans="1:10" ht="18.75" x14ac:dyDescent="0.3">
      <c r="A28" s="195"/>
      <c r="B28" s="195"/>
      <c r="C28" s="195"/>
      <c r="D28" s="195"/>
      <c r="E28" s="195"/>
      <c r="F28" s="195"/>
      <c r="G28" s="195"/>
      <c r="H28" s="196"/>
      <c r="I28" s="197"/>
      <c r="J28" s="85"/>
    </row>
    <row r="29" spans="1:10" ht="18.75" x14ac:dyDescent="0.3">
      <c r="A29" s="85"/>
      <c r="B29" s="85"/>
      <c r="C29" s="85"/>
      <c r="D29" s="85"/>
      <c r="E29" s="85"/>
      <c r="F29" s="85"/>
      <c r="G29" s="85"/>
      <c r="H29" s="85"/>
      <c r="I29" s="85"/>
      <c r="J29" s="85"/>
    </row>
  </sheetData>
  <mergeCells count="14">
    <mergeCell ref="H7:J7"/>
    <mergeCell ref="H1:J1"/>
    <mergeCell ref="H2:J2"/>
    <mergeCell ref="H3:J3"/>
    <mergeCell ref="H6:J6"/>
    <mergeCell ref="A4:J4"/>
    <mergeCell ref="A16:G16"/>
    <mergeCell ref="A17:G17"/>
    <mergeCell ref="H8:J8"/>
    <mergeCell ref="H9:J9"/>
    <mergeCell ref="A11:I11"/>
    <mergeCell ref="A12:J12"/>
    <mergeCell ref="H13:I13"/>
    <mergeCell ref="I15:J15"/>
  </mergeCells>
  <pageMargins left="0.7" right="0.7" top="0.75" bottom="0.75" header="0.3" footer="0.3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18"/>
  <sheetViews>
    <sheetView view="pageBreakPreview" zoomScale="60" zoomScaleNormal="100" workbookViewId="0">
      <selection activeCell="H30" sqref="H30"/>
    </sheetView>
  </sheetViews>
  <sheetFormatPr defaultRowHeight="15" x14ac:dyDescent="0.25"/>
  <cols>
    <col min="1" max="1" width="80.7109375" customWidth="1"/>
    <col min="2" max="2" width="27.28515625" customWidth="1"/>
    <col min="3" max="3" width="17.42578125" customWidth="1"/>
    <col min="4" max="4" width="18.85546875" customWidth="1"/>
  </cols>
  <sheetData>
    <row r="1" spans="1:4" ht="26.25" customHeight="1" x14ac:dyDescent="0.3">
      <c r="A1" s="128"/>
      <c r="B1" s="247" t="s">
        <v>905</v>
      </c>
      <c r="C1" s="247"/>
      <c r="D1" s="270"/>
    </row>
    <row r="2" spans="1:4" ht="23.25" customHeight="1" x14ac:dyDescent="0.3">
      <c r="A2" s="128"/>
      <c r="B2" s="247" t="s">
        <v>619</v>
      </c>
      <c r="C2" s="247"/>
      <c r="D2" s="270"/>
    </row>
    <row r="3" spans="1:4" ht="23.25" customHeight="1" x14ac:dyDescent="0.3">
      <c r="A3" s="128"/>
      <c r="B3" s="247" t="s">
        <v>620</v>
      </c>
      <c r="C3" s="247"/>
      <c r="D3" s="270"/>
    </row>
    <row r="4" spans="1:4" ht="23.25" customHeight="1" x14ac:dyDescent="0.3">
      <c r="A4" s="250" t="str">
        <f>'Прил 1 (Доходы)'!A4:C4</f>
        <v>от 28 ноября 2019 г. № 36</v>
      </c>
      <c r="B4" s="250"/>
      <c r="C4" s="250"/>
      <c r="D4" s="250"/>
    </row>
    <row r="5" spans="1:4" ht="23.25" customHeight="1" x14ac:dyDescent="0.25">
      <c r="A5" s="128"/>
      <c r="B5" s="128"/>
      <c r="C5" s="216"/>
      <c r="D5" s="216"/>
    </row>
    <row r="6" spans="1:4" ht="18.75" customHeight="1" x14ac:dyDescent="0.3">
      <c r="A6" s="128"/>
      <c r="B6" s="247" t="s">
        <v>904</v>
      </c>
      <c r="C6" s="247"/>
      <c r="D6" s="270"/>
    </row>
    <row r="7" spans="1:4" ht="18" customHeight="1" x14ac:dyDescent="0.3">
      <c r="A7" s="128"/>
      <c r="B7" s="247" t="s">
        <v>619</v>
      </c>
      <c r="C7" s="247"/>
      <c r="D7" s="270"/>
    </row>
    <row r="8" spans="1:4" ht="18" customHeight="1" x14ac:dyDescent="0.3">
      <c r="A8" s="128"/>
      <c r="B8" s="247" t="s">
        <v>620</v>
      </c>
      <c r="C8" s="247"/>
      <c r="D8" s="270"/>
    </row>
    <row r="9" spans="1:4" ht="23.25" customHeight="1" x14ac:dyDescent="0.3">
      <c r="A9" s="128"/>
      <c r="B9" s="247" t="s">
        <v>621</v>
      </c>
      <c r="C9" s="247"/>
      <c r="D9" s="270"/>
    </row>
    <row r="10" spans="1:4" ht="10.5" customHeight="1" x14ac:dyDescent="0.25">
      <c r="A10" s="128"/>
      <c r="B10" s="128"/>
      <c r="C10" s="218"/>
      <c r="D10" s="218"/>
    </row>
    <row r="11" spans="1:4" ht="36.950000000000003" customHeight="1" x14ac:dyDescent="0.25">
      <c r="A11" s="277" t="s">
        <v>628</v>
      </c>
      <c r="B11" s="277"/>
      <c r="C11" s="277"/>
      <c r="D11" s="277"/>
    </row>
    <row r="13" spans="1:4" ht="18" customHeight="1" x14ac:dyDescent="0.25">
      <c r="B13" s="130"/>
      <c r="D13" s="130" t="s">
        <v>0</v>
      </c>
    </row>
    <row r="14" spans="1:4" ht="21.2" customHeight="1" x14ac:dyDescent="0.25">
      <c r="A14" s="262" t="s">
        <v>629</v>
      </c>
      <c r="B14" s="262" t="s">
        <v>630</v>
      </c>
      <c r="C14" s="278" t="s">
        <v>623</v>
      </c>
      <c r="D14" s="278" t="s">
        <v>624</v>
      </c>
    </row>
    <row r="15" spans="1:4" ht="21.2" customHeight="1" x14ac:dyDescent="0.25">
      <c r="A15" s="262"/>
      <c r="B15" s="262"/>
      <c r="C15" s="278"/>
      <c r="D15" s="278"/>
    </row>
    <row r="16" spans="1:4" ht="21.2" customHeight="1" x14ac:dyDescent="0.25">
      <c r="A16" s="262"/>
      <c r="B16" s="262"/>
      <c r="C16" s="278"/>
      <c r="D16" s="278"/>
    </row>
    <row r="17" spans="1:4" ht="18.399999999999999" hidden="1" customHeight="1" x14ac:dyDescent="0.25">
      <c r="A17" s="201" t="s">
        <v>1</v>
      </c>
      <c r="B17" s="201" t="s">
        <v>3</v>
      </c>
      <c r="C17" s="201" t="s">
        <v>631</v>
      </c>
      <c r="D17" s="201" t="s">
        <v>897</v>
      </c>
    </row>
    <row r="18" spans="1:4" ht="18.399999999999999" customHeight="1" x14ac:dyDescent="0.3">
      <c r="A18" s="202" t="s">
        <v>632</v>
      </c>
      <c r="B18" s="203"/>
      <c r="C18" s="204"/>
      <c r="D18" s="204"/>
    </row>
    <row r="19" spans="1:4" ht="18.399999999999999" customHeight="1" x14ac:dyDescent="0.3">
      <c r="A19" s="133" t="s">
        <v>633</v>
      </c>
      <c r="B19" s="132" t="s">
        <v>634</v>
      </c>
      <c r="C19" s="134">
        <v>260610.64600000001</v>
      </c>
      <c r="D19" s="134">
        <v>264050.80800000002</v>
      </c>
    </row>
    <row r="20" spans="1:4" ht="15.75" x14ac:dyDescent="0.25">
      <c r="A20" s="131" t="s">
        <v>636</v>
      </c>
      <c r="B20" s="138" t="s">
        <v>637</v>
      </c>
      <c r="C20" s="5">
        <v>216490.261</v>
      </c>
      <c r="D20" s="5">
        <v>220144.31200000001</v>
      </c>
    </row>
    <row r="21" spans="1:4" ht="15.75" x14ac:dyDescent="0.25">
      <c r="A21" s="214" t="s">
        <v>638</v>
      </c>
      <c r="B21" s="136" t="s">
        <v>639</v>
      </c>
      <c r="C21" s="215">
        <v>216490.261</v>
      </c>
      <c r="D21" s="215">
        <v>220144.31200000001</v>
      </c>
    </row>
    <row r="22" spans="1:4" ht="79.150000000000006" customHeight="1" x14ac:dyDescent="0.25">
      <c r="A22" s="214" t="s">
        <v>640</v>
      </c>
      <c r="B22" s="136" t="s">
        <v>641</v>
      </c>
      <c r="C22" s="215">
        <v>215545.261</v>
      </c>
      <c r="D22" s="215">
        <v>219180.31200000001</v>
      </c>
    </row>
    <row r="23" spans="1:4" ht="110.65" customHeight="1" x14ac:dyDescent="0.25">
      <c r="A23" s="214" t="s">
        <v>642</v>
      </c>
      <c r="B23" s="136" t="s">
        <v>643</v>
      </c>
      <c r="C23" s="215">
        <v>341</v>
      </c>
      <c r="D23" s="215">
        <v>348</v>
      </c>
    </row>
    <row r="24" spans="1:4" ht="47.45" customHeight="1" x14ac:dyDescent="0.25">
      <c r="A24" s="214" t="s">
        <v>644</v>
      </c>
      <c r="B24" s="136" t="s">
        <v>645</v>
      </c>
      <c r="C24" s="215">
        <v>604</v>
      </c>
      <c r="D24" s="215">
        <v>616</v>
      </c>
    </row>
    <row r="25" spans="1:4" ht="31.7" customHeight="1" x14ac:dyDescent="0.25">
      <c r="A25" s="131" t="s">
        <v>646</v>
      </c>
      <c r="B25" s="138" t="s">
        <v>647</v>
      </c>
      <c r="C25" s="5">
        <v>9861.9850000000006</v>
      </c>
      <c r="D25" s="5">
        <v>9871.8459999999995</v>
      </c>
    </row>
    <row r="26" spans="1:4" ht="31.7" customHeight="1" x14ac:dyDescent="0.25">
      <c r="A26" s="214" t="s">
        <v>648</v>
      </c>
      <c r="B26" s="136" t="s">
        <v>649</v>
      </c>
      <c r="C26" s="215">
        <v>9861.9850000000006</v>
      </c>
      <c r="D26" s="215">
        <v>9871.8459999999995</v>
      </c>
    </row>
    <row r="27" spans="1:4" ht="79.150000000000006" customHeight="1" x14ac:dyDescent="0.25">
      <c r="A27" s="214" t="s">
        <v>650</v>
      </c>
      <c r="B27" s="136" t="s">
        <v>651</v>
      </c>
      <c r="C27" s="215">
        <v>3576.2139999999999</v>
      </c>
      <c r="D27" s="215">
        <v>3579.79</v>
      </c>
    </row>
    <row r="28" spans="1:4" ht="79.150000000000006" customHeight="1" x14ac:dyDescent="0.25">
      <c r="A28" s="214" t="s">
        <v>650</v>
      </c>
      <c r="B28" s="136" t="s">
        <v>651</v>
      </c>
      <c r="C28" s="215">
        <v>3576.2139999999999</v>
      </c>
      <c r="D28" s="215">
        <v>3579.79</v>
      </c>
    </row>
    <row r="29" spans="1:4" ht="94.9" customHeight="1" x14ac:dyDescent="0.25">
      <c r="A29" s="214" t="s">
        <v>654</v>
      </c>
      <c r="B29" s="136" t="s">
        <v>655</v>
      </c>
      <c r="C29" s="215">
        <v>25.056999999999999</v>
      </c>
      <c r="D29" s="215">
        <v>25.082000000000001</v>
      </c>
    </row>
    <row r="30" spans="1:4" ht="94.9" customHeight="1" x14ac:dyDescent="0.25">
      <c r="A30" s="214" t="s">
        <v>654</v>
      </c>
      <c r="B30" s="136" t="s">
        <v>655</v>
      </c>
      <c r="C30" s="215">
        <v>25.056999999999999</v>
      </c>
      <c r="D30" s="215">
        <v>25.082000000000001</v>
      </c>
    </row>
    <row r="31" spans="1:4" ht="79.150000000000006" customHeight="1" x14ac:dyDescent="0.25">
      <c r="A31" s="214" t="s">
        <v>658</v>
      </c>
      <c r="B31" s="136" t="s">
        <v>659</v>
      </c>
      <c r="C31" s="215">
        <v>6260.7139999999999</v>
      </c>
      <c r="D31" s="215">
        <v>6266.9740000000002</v>
      </c>
    </row>
    <row r="32" spans="1:4" ht="79.150000000000006" customHeight="1" x14ac:dyDescent="0.25">
      <c r="A32" s="214" t="s">
        <v>658</v>
      </c>
      <c r="B32" s="136" t="s">
        <v>659</v>
      </c>
      <c r="C32" s="215">
        <v>6260.7139999999999</v>
      </c>
      <c r="D32" s="215">
        <v>6266.9740000000002</v>
      </c>
    </row>
    <row r="33" spans="1:4" ht="15.75" x14ac:dyDescent="0.25">
      <c r="A33" s="131" t="s">
        <v>662</v>
      </c>
      <c r="B33" s="138" t="s">
        <v>663</v>
      </c>
      <c r="C33" s="5">
        <v>13759</v>
      </c>
      <c r="D33" s="5">
        <v>13759</v>
      </c>
    </row>
    <row r="34" spans="1:4" ht="31.7" customHeight="1" x14ac:dyDescent="0.25">
      <c r="A34" s="214" t="s">
        <v>664</v>
      </c>
      <c r="B34" s="136" t="s">
        <v>665</v>
      </c>
      <c r="C34" s="215">
        <v>5865</v>
      </c>
      <c r="D34" s="215">
        <v>5865</v>
      </c>
    </row>
    <row r="35" spans="1:4" ht="31.7" customHeight="1" x14ac:dyDescent="0.25">
      <c r="A35" s="214" t="s">
        <v>666</v>
      </c>
      <c r="B35" s="136" t="s">
        <v>667</v>
      </c>
      <c r="C35" s="215">
        <v>5245</v>
      </c>
      <c r="D35" s="215">
        <v>5245</v>
      </c>
    </row>
    <row r="36" spans="1:4" ht="31.7" customHeight="1" x14ac:dyDescent="0.25">
      <c r="A36" s="214" t="s">
        <v>666</v>
      </c>
      <c r="B36" s="136" t="s">
        <v>668</v>
      </c>
      <c r="C36" s="215">
        <v>5245</v>
      </c>
      <c r="D36" s="215">
        <v>5245</v>
      </c>
    </row>
    <row r="37" spans="1:4" ht="47.45" customHeight="1" x14ac:dyDescent="0.25">
      <c r="A37" s="214" t="s">
        <v>669</v>
      </c>
      <c r="B37" s="136" t="s">
        <v>670</v>
      </c>
      <c r="C37" s="215">
        <v>620</v>
      </c>
      <c r="D37" s="215">
        <v>620</v>
      </c>
    </row>
    <row r="38" spans="1:4" ht="63.2" customHeight="1" x14ac:dyDescent="0.25">
      <c r="A38" s="214" t="s">
        <v>671</v>
      </c>
      <c r="B38" s="136" t="s">
        <v>672</v>
      </c>
      <c r="C38" s="215">
        <v>620</v>
      </c>
      <c r="D38" s="215">
        <v>620</v>
      </c>
    </row>
    <row r="39" spans="1:4" ht="31.7" customHeight="1" x14ac:dyDescent="0.25">
      <c r="A39" s="214" t="s">
        <v>673</v>
      </c>
      <c r="B39" s="136" t="s">
        <v>674</v>
      </c>
      <c r="C39" s="215">
        <v>7220</v>
      </c>
      <c r="D39" s="215">
        <v>7220</v>
      </c>
    </row>
    <row r="40" spans="1:4" ht="31.7" customHeight="1" x14ac:dyDescent="0.25">
      <c r="A40" s="214" t="s">
        <v>673</v>
      </c>
      <c r="B40" s="136" t="s">
        <v>675</v>
      </c>
      <c r="C40" s="215">
        <v>7220</v>
      </c>
      <c r="D40" s="215">
        <v>7220</v>
      </c>
    </row>
    <row r="41" spans="1:4" ht="15.75" x14ac:dyDescent="0.25">
      <c r="A41" s="214" t="s">
        <v>678</v>
      </c>
      <c r="B41" s="136" t="s">
        <v>679</v>
      </c>
      <c r="C41" s="215">
        <v>80</v>
      </c>
      <c r="D41" s="215">
        <v>80</v>
      </c>
    </row>
    <row r="42" spans="1:4" ht="15.75" x14ac:dyDescent="0.25">
      <c r="A42" s="214" t="s">
        <v>678</v>
      </c>
      <c r="B42" s="136" t="s">
        <v>680</v>
      </c>
      <c r="C42" s="215">
        <v>80</v>
      </c>
      <c r="D42" s="215">
        <v>80</v>
      </c>
    </row>
    <row r="43" spans="1:4" ht="31.7" customHeight="1" x14ac:dyDescent="0.25">
      <c r="A43" s="214" t="s">
        <v>681</v>
      </c>
      <c r="B43" s="136" t="s">
        <v>682</v>
      </c>
      <c r="C43" s="215">
        <v>594</v>
      </c>
      <c r="D43" s="215">
        <v>594</v>
      </c>
    </row>
    <row r="44" spans="1:4" ht="47.45" customHeight="1" x14ac:dyDescent="0.25">
      <c r="A44" s="214" t="s">
        <v>683</v>
      </c>
      <c r="B44" s="136" t="s">
        <v>684</v>
      </c>
      <c r="C44" s="215">
        <v>594</v>
      </c>
      <c r="D44" s="215">
        <v>594</v>
      </c>
    </row>
    <row r="45" spans="1:4" ht="15.75" x14ac:dyDescent="0.25">
      <c r="A45" s="131" t="s">
        <v>697</v>
      </c>
      <c r="B45" s="138" t="s">
        <v>698</v>
      </c>
      <c r="C45" s="5">
        <v>2750</v>
      </c>
      <c r="D45" s="5">
        <v>2750</v>
      </c>
    </row>
    <row r="46" spans="1:4" ht="31.7" customHeight="1" x14ac:dyDescent="0.25">
      <c r="A46" s="214" t="s">
        <v>699</v>
      </c>
      <c r="B46" s="136" t="s">
        <v>700</v>
      </c>
      <c r="C46" s="215">
        <v>2750</v>
      </c>
      <c r="D46" s="215">
        <v>2750</v>
      </c>
    </row>
    <row r="47" spans="1:4" ht="47.45" customHeight="1" x14ac:dyDescent="0.25">
      <c r="A47" s="214" t="s">
        <v>701</v>
      </c>
      <c r="B47" s="136" t="s">
        <v>702</v>
      </c>
      <c r="C47" s="215">
        <v>2750</v>
      </c>
      <c r="D47" s="215">
        <v>2750</v>
      </c>
    </row>
    <row r="48" spans="1:4" ht="47.45" customHeight="1" x14ac:dyDescent="0.25">
      <c r="A48" s="131" t="s">
        <v>704</v>
      </c>
      <c r="B48" s="138" t="s">
        <v>705</v>
      </c>
      <c r="C48" s="5">
        <v>13000</v>
      </c>
      <c r="D48" s="5">
        <v>12690</v>
      </c>
    </row>
    <row r="49" spans="1:4" ht="94.9" customHeight="1" x14ac:dyDescent="0.25">
      <c r="A49" s="214" t="s">
        <v>706</v>
      </c>
      <c r="B49" s="136" t="s">
        <v>707</v>
      </c>
      <c r="C49" s="215">
        <v>12750</v>
      </c>
      <c r="D49" s="215">
        <v>12440</v>
      </c>
    </row>
    <row r="50" spans="1:4" ht="63.2" customHeight="1" x14ac:dyDescent="0.25">
      <c r="A50" s="214" t="s">
        <v>708</v>
      </c>
      <c r="B50" s="136" t="s">
        <v>709</v>
      </c>
      <c r="C50" s="215">
        <v>4650</v>
      </c>
      <c r="D50" s="215">
        <v>4340</v>
      </c>
    </row>
    <row r="51" spans="1:4" ht="94.9" customHeight="1" x14ac:dyDescent="0.25">
      <c r="A51" s="214" t="s">
        <v>710</v>
      </c>
      <c r="B51" s="136" t="s">
        <v>711</v>
      </c>
      <c r="C51" s="215">
        <v>4650</v>
      </c>
      <c r="D51" s="215">
        <v>4340</v>
      </c>
    </row>
    <row r="52" spans="1:4" ht="47.45" customHeight="1" x14ac:dyDescent="0.25">
      <c r="A52" s="214" t="s">
        <v>718</v>
      </c>
      <c r="B52" s="136" t="s">
        <v>719</v>
      </c>
      <c r="C52" s="215">
        <v>8100</v>
      </c>
      <c r="D52" s="215">
        <v>8100</v>
      </c>
    </row>
    <row r="53" spans="1:4" ht="31.7" customHeight="1" x14ac:dyDescent="0.25">
      <c r="A53" s="214" t="s">
        <v>720</v>
      </c>
      <c r="B53" s="136" t="s">
        <v>721</v>
      </c>
      <c r="C53" s="215">
        <v>8100</v>
      </c>
      <c r="D53" s="215">
        <v>8100</v>
      </c>
    </row>
    <row r="54" spans="1:4" ht="79.150000000000006" customHeight="1" x14ac:dyDescent="0.25">
      <c r="A54" s="214" t="s">
        <v>722</v>
      </c>
      <c r="B54" s="136" t="s">
        <v>723</v>
      </c>
      <c r="C54" s="215">
        <v>250</v>
      </c>
      <c r="D54" s="215">
        <v>250</v>
      </c>
    </row>
    <row r="55" spans="1:4" ht="79.150000000000006" customHeight="1" x14ac:dyDescent="0.25">
      <c r="A55" s="214" t="s">
        <v>724</v>
      </c>
      <c r="B55" s="136" t="s">
        <v>725</v>
      </c>
      <c r="C55" s="215">
        <v>250</v>
      </c>
      <c r="D55" s="215">
        <v>250</v>
      </c>
    </row>
    <row r="56" spans="1:4" ht="79.150000000000006" customHeight="1" x14ac:dyDescent="0.25">
      <c r="A56" s="214" t="s">
        <v>726</v>
      </c>
      <c r="B56" s="136" t="s">
        <v>727</v>
      </c>
      <c r="C56" s="215">
        <v>250</v>
      </c>
      <c r="D56" s="215">
        <v>250</v>
      </c>
    </row>
    <row r="57" spans="1:4" ht="15.75" x14ac:dyDescent="0.25">
      <c r="A57" s="131" t="s">
        <v>728</v>
      </c>
      <c r="B57" s="138" t="s">
        <v>729</v>
      </c>
      <c r="C57" s="5">
        <v>2003.4</v>
      </c>
      <c r="D57" s="5">
        <v>2089.65</v>
      </c>
    </row>
    <row r="58" spans="1:4" ht="15.75" x14ac:dyDescent="0.25">
      <c r="A58" s="214" t="s">
        <v>730</v>
      </c>
      <c r="B58" s="136" t="s">
        <v>731</v>
      </c>
      <c r="C58" s="215">
        <v>2003.4</v>
      </c>
      <c r="D58" s="215">
        <v>2089.65</v>
      </c>
    </row>
    <row r="59" spans="1:4" ht="31.7" customHeight="1" x14ac:dyDescent="0.25">
      <c r="A59" s="214" t="s">
        <v>732</v>
      </c>
      <c r="B59" s="136" t="s">
        <v>733</v>
      </c>
      <c r="C59" s="215">
        <v>1077.5999999999999</v>
      </c>
      <c r="D59" s="215">
        <v>1123.95</v>
      </c>
    </row>
    <row r="60" spans="1:4" ht="15.75" x14ac:dyDescent="0.25">
      <c r="A60" s="214" t="s">
        <v>734</v>
      </c>
      <c r="B60" s="136" t="s">
        <v>735</v>
      </c>
      <c r="C60" s="215">
        <v>882.7</v>
      </c>
      <c r="D60" s="215">
        <v>920.7</v>
      </c>
    </row>
    <row r="61" spans="1:4" ht="15.75" x14ac:dyDescent="0.25">
      <c r="A61" s="214" t="s">
        <v>736</v>
      </c>
      <c r="B61" s="136" t="s">
        <v>737</v>
      </c>
      <c r="C61" s="215">
        <v>43.1</v>
      </c>
      <c r="D61" s="215">
        <v>45</v>
      </c>
    </row>
    <row r="62" spans="1:4" ht="15.75" x14ac:dyDescent="0.25">
      <c r="A62" s="214" t="s">
        <v>898</v>
      </c>
      <c r="B62" s="136" t="s">
        <v>899</v>
      </c>
      <c r="C62" s="215">
        <v>43.1</v>
      </c>
      <c r="D62" s="215">
        <v>45</v>
      </c>
    </row>
    <row r="63" spans="1:4" ht="31.7" customHeight="1" x14ac:dyDescent="0.25">
      <c r="A63" s="131" t="s">
        <v>746</v>
      </c>
      <c r="B63" s="138" t="s">
        <v>747</v>
      </c>
      <c r="C63" s="5">
        <v>300</v>
      </c>
      <c r="D63" s="5">
        <v>290</v>
      </c>
    </row>
    <row r="64" spans="1:4" ht="79.150000000000006" customHeight="1" x14ac:dyDescent="0.25">
      <c r="A64" s="214" t="s">
        <v>748</v>
      </c>
      <c r="B64" s="136" t="s">
        <v>749</v>
      </c>
      <c r="C64" s="215">
        <v>50</v>
      </c>
      <c r="D64" s="215">
        <v>50</v>
      </c>
    </row>
    <row r="65" spans="1:4" ht="94.9" customHeight="1" x14ac:dyDescent="0.25">
      <c r="A65" s="214" t="s">
        <v>750</v>
      </c>
      <c r="B65" s="136" t="s">
        <v>751</v>
      </c>
      <c r="C65" s="215">
        <v>50</v>
      </c>
      <c r="D65" s="215">
        <v>50</v>
      </c>
    </row>
    <row r="66" spans="1:4" ht="94.9" customHeight="1" x14ac:dyDescent="0.25">
      <c r="A66" s="214" t="s">
        <v>752</v>
      </c>
      <c r="B66" s="136" t="s">
        <v>753</v>
      </c>
      <c r="C66" s="215">
        <v>50</v>
      </c>
      <c r="D66" s="215">
        <v>50</v>
      </c>
    </row>
    <row r="67" spans="1:4" ht="31.7" customHeight="1" x14ac:dyDescent="0.25">
      <c r="A67" s="214" t="s">
        <v>754</v>
      </c>
      <c r="B67" s="136" t="s">
        <v>755</v>
      </c>
      <c r="C67" s="215">
        <v>250</v>
      </c>
      <c r="D67" s="215">
        <v>240</v>
      </c>
    </row>
    <row r="68" spans="1:4" ht="31.7" customHeight="1" x14ac:dyDescent="0.25">
      <c r="A68" s="214" t="s">
        <v>756</v>
      </c>
      <c r="B68" s="136" t="s">
        <v>757</v>
      </c>
      <c r="C68" s="215">
        <v>250</v>
      </c>
      <c r="D68" s="215">
        <v>240</v>
      </c>
    </row>
    <row r="69" spans="1:4" ht="63.2" customHeight="1" x14ac:dyDescent="0.25">
      <c r="A69" s="214" t="s">
        <v>758</v>
      </c>
      <c r="B69" s="136" t="s">
        <v>759</v>
      </c>
      <c r="C69" s="215">
        <v>250</v>
      </c>
      <c r="D69" s="215">
        <v>240</v>
      </c>
    </row>
    <row r="70" spans="1:4" ht="15.75" x14ac:dyDescent="0.25">
      <c r="A70" s="131" t="s">
        <v>766</v>
      </c>
      <c r="B70" s="138" t="s">
        <v>767</v>
      </c>
      <c r="C70" s="5">
        <v>2446</v>
      </c>
      <c r="D70" s="5">
        <v>2456</v>
      </c>
    </row>
    <row r="71" spans="1:4" ht="31.7" customHeight="1" x14ac:dyDescent="0.25">
      <c r="A71" s="214" t="s">
        <v>768</v>
      </c>
      <c r="B71" s="136" t="s">
        <v>769</v>
      </c>
      <c r="C71" s="215">
        <v>46</v>
      </c>
      <c r="D71" s="215">
        <v>46</v>
      </c>
    </row>
    <row r="72" spans="1:4" ht="79.150000000000006" customHeight="1" x14ac:dyDescent="0.25">
      <c r="A72" s="214" t="s">
        <v>770</v>
      </c>
      <c r="B72" s="136" t="s">
        <v>771</v>
      </c>
      <c r="C72" s="215">
        <v>44</v>
      </c>
      <c r="D72" s="215">
        <v>44</v>
      </c>
    </row>
    <row r="73" spans="1:4" ht="63.2" customHeight="1" x14ac:dyDescent="0.25">
      <c r="A73" s="214" t="s">
        <v>772</v>
      </c>
      <c r="B73" s="136" t="s">
        <v>773</v>
      </c>
      <c r="C73" s="215">
        <v>2</v>
      </c>
      <c r="D73" s="215">
        <v>2</v>
      </c>
    </row>
    <row r="74" spans="1:4" ht="63.2" customHeight="1" x14ac:dyDescent="0.25">
      <c r="A74" s="214" t="s">
        <v>774</v>
      </c>
      <c r="B74" s="136" t="s">
        <v>775</v>
      </c>
      <c r="C74" s="215">
        <v>75</v>
      </c>
      <c r="D74" s="215">
        <v>75</v>
      </c>
    </row>
    <row r="75" spans="1:4" ht="63.2" customHeight="1" x14ac:dyDescent="0.25">
      <c r="A75" s="214" t="s">
        <v>776</v>
      </c>
      <c r="B75" s="136" t="s">
        <v>777</v>
      </c>
      <c r="C75" s="215">
        <v>75</v>
      </c>
      <c r="D75" s="215">
        <v>75</v>
      </c>
    </row>
    <row r="76" spans="1:4" ht="110.65" customHeight="1" x14ac:dyDescent="0.25">
      <c r="A76" s="214" t="s">
        <v>782</v>
      </c>
      <c r="B76" s="136" t="s">
        <v>783</v>
      </c>
      <c r="C76" s="215">
        <v>121</v>
      </c>
      <c r="D76" s="215">
        <v>121</v>
      </c>
    </row>
    <row r="77" spans="1:4" ht="31.7" customHeight="1" x14ac:dyDescent="0.25">
      <c r="A77" s="214" t="s">
        <v>788</v>
      </c>
      <c r="B77" s="136" t="s">
        <v>789</v>
      </c>
      <c r="C77" s="215">
        <v>121</v>
      </c>
      <c r="D77" s="215">
        <v>121</v>
      </c>
    </row>
    <row r="78" spans="1:4" ht="63.2" customHeight="1" x14ac:dyDescent="0.25">
      <c r="A78" s="214" t="s">
        <v>792</v>
      </c>
      <c r="B78" s="136" t="s">
        <v>793</v>
      </c>
      <c r="C78" s="215">
        <v>375</v>
      </c>
      <c r="D78" s="215">
        <v>385</v>
      </c>
    </row>
    <row r="79" spans="1:4" ht="31.7" customHeight="1" x14ac:dyDescent="0.25">
      <c r="A79" s="214" t="s">
        <v>794</v>
      </c>
      <c r="B79" s="136" t="s">
        <v>795</v>
      </c>
      <c r="C79" s="215">
        <v>200</v>
      </c>
      <c r="D79" s="215">
        <v>200</v>
      </c>
    </row>
    <row r="80" spans="1:4" ht="31.7" customHeight="1" x14ac:dyDescent="0.25">
      <c r="A80" s="214" t="s">
        <v>796</v>
      </c>
      <c r="B80" s="136" t="s">
        <v>797</v>
      </c>
      <c r="C80" s="215">
        <v>200</v>
      </c>
      <c r="D80" s="215">
        <v>200</v>
      </c>
    </row>
    <row r="81" spans="1:4" ht="63.2" customHeight="1" x14ac:dyDescent="0.25">
      <c r="A81" s="214" t="s">
        <v>798</v>
      </c>
      <c r="B81" s="136" t="s">
        <v>799</v>
      </c>
      <c r="C81" s="215">
        <v>55</v>
      </c>
      <c r="D81" s="215">
        <v>55</v>
      </c>
    </row>
    <row r="82" spans="1:4" ht="63.2" customHeight="1" x14ac:dyDescent="0.25">
      <c r="A82" s="214" t="s">
        <v>800</v>
      </c>
      <c r="B82" s="136" t="s">
        <v>801</v>
      </c>
      <c r="C82" s="215">
        <v>55</v>
      </c>
      <c r="D82" s="215">
        <v>55</v>
      </c>
    </row>
    <row r="83" spans="1:4" ht="31.7" customHeight="1" x14ac:dyDescent="0.25">
      <c r="A83" s="214" t="s">
        <v>802</v>
      </c>
      <c r="B83" s="136" t="s">
        <v>803</v>
      </c>
      <c r="C83" s="215">
        <v>1.25</v>
      </c>
      <c r="D83" s="215">
        <v>1.25</v>
      </c>
    </row>
    <row r="84" spans="1:4" ht="47.45" customHeight="1" x14ac:dyDescent="0.25">
      <c r="A84" s="214" t="s">
        <v>804</v>
      </c>
      <c r="B84" s="136" t="s">
        <v>805</v>
      </c>
      <c r="C84" s="215">
        <v>1.25</v>
      </c>
      <c r="D84" s="215">
        <v>1.25</v>
      </c>
    </row>
    <row r="85" spans="1:4" ht="63.2" customHeight="1" x14ac:dyDescent="0.25">
      <c r="A85" s="214" t="s">
        <v>806</v>
      </c>
      <c r="B85" s="136" t="s">
        <v>807</v>
      </c>
      <c r="C85" s="215">
        <v>250</v>
      </c>
      <c r="D85" s="215">
        <v>250</v>
      </c>
    </row>
    <row r="86" spans="1:4" ht="31.7" customHeight="1" x14ac:dyDescent="0.25">
      <c r="A86" s="214" t="s">
        <v>808</v>
      </c>
      <c r="B86" s="136" t="s">
        <v>809</v>
      </c>
      <c r="C86" s="215">
        <v>1322.75</v>
      </c>
      <c r="D86" s="215">
        <v>1322.75</v>
      </c>
    </row>
    <row r="87" spans="1:4" ht="47.45" customHeight="1" x14ac:dyDescent="0.25">
      <c r="A87" s="214" t="s">
        <v>810</v>
      </c>
      <c r="B87" s="136" t="s">
        <v>811</v>
      </c>
      <c r="C87" s="215">
        <v>1322.75</v>
      </c>
      <c r="D87" s="215">
        <v>1322.75</v>
      </c>
    </row>
    <row r="88" spans="1:4" ht="18.399999999999999" customHeight="1" x14ac:dyDescent="0.3">
      <c r="A88" s="133" t="s">
        <v>812</v>
      </c>
      <c r="B88" s="132" t="s">
        <v>813</v>
      </c>
      <c r="C88" s="134">
        <v>288441.32500000001</v>
      </c>
      <c r="D88" s="134">
        <v>281508.92499999999</v>
      </c>
    </row>
    <row r="89" spans="1:4" ht="31.7" customHeight="1" x14ac:dyDescent="0.25">
      <c r="A89" s="131" t="s">
        <v>814</v>
      </c>
      <c r="B89" s="138" t="s">
        <v>815</v>
      </c>
      <c r="C89" s="5">
        <v>288441.32500000001</v>
      </c>
      <c r="D89" s="5">
        <v>281508.92499999999</v>
      </c>
    </row>
    <row r="90" spans="1:4" ht="15.75" x14ac:dyDescent="0.25">
      <c r="A90" s="214" t="s">
        <v>816</v>
      </c>
      <c r="B90" s="136" t="s">
        <v>817</v>
      </c>
      <c r="C90" s="215">
        <v>386.8</v>
      </c>
      <c r="D90" s="215">
        <v>533.70000000000005</v>
      </c>
    </row>
    <row r="91" spans="1:4" ht="15.75" x14ac:dyDescent="0.25">
      <c r="A91" s="214" t="s">
        <v>818</v>
      </c>
      <c r="B91" s="136" t="s">
        <v>819</v>
      </c>
      <c r="C91" s="215">
        <v>386.8</v>
      </c>
      <c r="D91" s="215">
        <v>533.70000000000005</v>
      </c>
    </row>
    <row r="92" spans="1:4" ht="31.7" customHeight="1" x14ac:dyDescent="0.25">
      <c r="A92" s="214" t="s">
        <v>820</v>
      </c>
      <c r="B92" s="136" t="s">
        <v>821</v>
      </c>
      <c r="C92" s="215">
        <v>386.8</v>
      </c>
      <c r="D92" s="215">
        <v>533.70000000000005</v>
      </c>
    </row>
    <row r="93" spans="1:4" ht="31.7" customHeight="1" x14ac:dyDescent="0.25">
      <c r="A93" s="214" t="s">
        <v>826</v>
      </c>
      <c r="B93" s="136" t="s">
        <v>827</v>
      </c>
      <c r="C93" s="215">
        <v>18298.5</v>
      </c>
      <c r="D93" s="215">
        <v>9048.4</v>
      </c>
    </row>
    <row r="94" spans="1:4" ht="15.75" x14ac:dyDescent="0.25">
      <c r="A94" s="214" t="s">
        <v>848</v>
      </c>
      <c r="B94" s="136" t="s">
        <v>849</v>
      </c>
      <c r="C94" s="215">
        <v>18298.5</v>
      </c>
      <c r="D94" s="215">
        <v>9048.4</v>
      </c>
    </row>
    <row r="95" spans="1:4" ht="15.75" x14ac:dyDescent="0.25">
      <c r="A95" s="214" t="s">
        <v>850</v>
      </c>
      <c r="B95" s="136" t="s">
        <v>851</v>
      </c>
      <c r="C95" s="215">
        <v>18298.5</v>
      </c>
      <c r="D95" s="215">
        <v>9048.4</v>
      </c>
    </row>
    <row r="96" spans="1:4" ht="15.75" x14ac:dyDescent="0.25">
      <c r="A96" s="214" t="s">
        <v>852</v>
      </c>
      <c r="B96" s="136" t="s">
        <v>853</v>
      </c>
      <c r="C96" s="215">
        <v>269717.99900000001</v>
      </c>
      <c r="D96" s="215">
        <v>271888.799</v>
      </c>
    </row>
    <row r="97" spans="1:4" ht="31.7" customHeight="1" x14ac:dyDescent="0.25">
      <c r="A97" s="214" t="s">
        <v>854</v>
      </c>
      <c r="B97" s="136" t="s">
        <v>855</v>
      </c>
      <c r="C97" s="215">
        <v>4303.5990000000002</v>
      </c>
      <c r="D97" s="215">
        <v>4291.5990000000002</v>
      </c>
    </row>
    <row r="98" spans="1:4" ht="31.7" customHeight="1" x14ac:dyDescent="0.25">
      <c r="A98" s="214" t="s">
        <v>856</v>
      </c>
      <c r="B98" s="136" t="s">
        <v>857</v>
      </c>
      <c r="C98" s="215">
        <v>4303.5990000000002</v>
      </c>
      <c r="D98" s="215">
        <v>4291.5990000000002</v>
      </c>
    </row>
    <row r="99" spans="1:4" ht="79.150000000000006" customHeight="1" x14ac:dyDescent="0.25">
      <c r="A99" s="214" t="s">
        <v>858</v>
      </c>
      <c r="B99" s="136" t="s">
        <v>859</v>
      </c>
      <c r="C99" s="215">
        <v>3185.5</v>
      </c>
      <c r="D99" s="215">
        <v>3185.5</v>
      </c>
    </row>
    <row r="100" spans="1:4" ht="79.150000000000006" customHeight="1" x14ac:dyDescent="0.25">
      <c r="A100" s="214" t="s">
        <v>860</v>
      </c>
      <c r="B100" s="136" t="s">
        <v>861</v>
      </c>
      <c r="C100" s="215">
        <v>3185.5</v>
      </c>
      <c r="D100" s="215">
        <v>3185.5</v>
      </c>
    </row>
    <row r="101" spans="1:4" ht="63.2" customHeight="1" x14ac:dyDescent="0.25">
      <c r="A101" s="214" t="s">
        <v>862</v>
      </c>
      <c r="B101" s="136" t="s">
        <v>863</v>
      </c>
      <c r="C101" s="215">
        <v>8001.6</v>
      </c>
      <c r="D101" s="215">
        <v>8001.6</v>
      </c>
    </row>
    <row r="102" spans="1:4" ht="63.2" customHeight="1" x14ac:dyDescent="0.25">
      <c r="A102" s="214" t="s">
        <v>864</v>
      </c>
      <c r="B102" s="136" t="s">
        <v>865</v>
      </c>
      <c r="C102" s="215">
        <v>8001.6</v>
      </c>
      <c r="D102" s="215">
        <v>8001.6</v>
      </c>
    </row>
    <row r="103" spans="1:4" ht="31.7" customHeight="1" x14ac:dyDescent="0.25">
      <c r="A103" s="214" t="s">
        <v>866</v>
      </c>
      <c r="B103" s="136" t="s">
        <v>867</v>
      </c>
      <c r="C103" s="215">
        <v>1281.9000000000001</v>
      </c>
      <c r="D103" s="215">
        <v>1281.9000000000001</v>
      </c>
    </row>
    <row r="104" spans="1:4" ht="47.45" customHeight="1" x14ac:dyDescent="0.25">
      <c r="A104" s="214" t="s">
        <v>868</v>
      </c>
      <c r="B104" s="136" t="s">
        <v>869</v>
      </c>
      <c r="C104" s="215">
        <v>1281.9000000000001</v>
      </c>
      <c r="D104" s="215">
        <v>1281.9000000000001</v>
      </c>
    </row>
    <row r="105" spans="1:4" ht="63.2" customHeight="1" x14ac:dyDescent="0.25">
      <c r="A105" s="214" t="s">
        <v>870</v>
      </c>
      <c r="B105" s="136" t="s">
        <v>871</v>
      </c>
      <c r="C105" s="215">
        <v>12.7</v>
      </c>
      <c r="D105" s="215">
        <v>13.3</v>
      </c>
    </row>
    <row r="106" spans="1:4" ht="63.2" customHeight="1" x14ac:dyDescent="0.25">
      <c r="A106" s="214" t="s">
        <v>872</v>
      </c>
      <c r="B106" s="136" t="s">
        <v>873</v>
      </c>
      <c r="C106" s="215">
        <v>12.7</v>
      </c>
      <c r="D106" s="215">
        <v>13.3</v>
      </c>
    </row>
    <row r="107" spans="1:4" ht="63.2" customHeight="1" x14ac:dyDescent="0.25">
      <c r="A107" s="214" t="s">
        <v>874</v>
      </c>
      <c r="B107" s="136" t="s">
        <v>875</v>
      </c>
      <c r="C107" s="215">
        <v>834.5</v>
      </c>
      <c r="D107" s="215">
        <v>834.5</v>
      </c>
    </row>
    <row r="108" spans="1:4" ht="63.2" customHeight="1" x14ac:dyDescent="0.25">
      <c r="A108" s="214" t="s">
        <v>876</v>
      </c>
      <c r="B108" s="136" t="s">
        <v>877</v>
      </c>
      <c r="C108" s="215">
        <v>834.5</v>
      </c>
      <c r="D108" s="215">
        <v>834.5</v>
      </c>
    </row>
    <row r="109" spans="1:4" ht="79.150000000000006" customHeight="1" x14ac:dyDescent="0.25">
      <c r="A109" s="214" t="s">
        <v>878</v>
      </c>
      <c r="B109" s="136" t="s">
        <v>879</v>
      </c>
      <c r="C109" s="215">
        <v>834.5</v>
      </c>
      <c r="D109" s="215">
        <v>834.5</v>
      </c>
    </row>
    <row r="110" spans="1:4" ht="79.150000000000006" customHeight="1" x14ac:dyDescent="0.25">
      <c r="A110" s="214" t="s">
        <v>880</v>
      </c>
      <c r="B110" s="136" t="s">
        <v>881</v>
      </c>
      <c r="C110" s="215">
        <v>834.5</v>
      </c>
      <c r="D110" s="215">
        <v>834.5</v>
      </c>
    </row>
    <row r="111" spans="1:4" ht="31.7" customHeight="1" x14ac:dyDescent="0.25">
      <c r="A111" s="214" t="s">
        <v>882</v>
      </c>
      <c r="B111" s="136" t="s">
        <v>883</v>
      </c>
      <c r="C111" s="215">
        <v>50.7</v>
      </c>
      <c r="D111" s="215">
        <v>50.7</v>
      </c>
    </row>
    <row r="112" spans="1:4" ht="31.7" customHeight="1" x14ac:dyDescent="0.25">
      <c r="A112" s="214" t="s">
        <v>884</v>
      </c>
      <c r="B112" s="136" t="s">
        <v>885</v>
      </c>
      <c r="C112" s="215">
        <v>50.7</v>
      </c>
      <c r="D112" s="215">
        <v>50.7</v>
      </c>
    </row>
    <row r="113" spans="1:4" ht="15.75" x14ac:dyDescent="0.25">
      <c r="A113" s="214" t="s">
        <v>886</v>
      </c>
      <c r="B113" s="136" t="s">
        <v>887</v>
      </c>
      <c r="C113" s="215">
        <v>251213</v>
      </c>
      <c r="D113" s="215">
        <v>253395.20000000001</v>
      </c>
    </row>
    <row r="114" spans="1:4" ht="15.75" x14ac:dyDescent="0.25">
      <c r="A114" s="214" t="s">
        <v>888</v>
      </c>
      <c r="B114" s="136" t="s">
        <v>889</v>
      </c>
      <c r="C114" s="215">
        <v>251213</v>
      </c>
      <c r="D114" s="215">
        <v>253395.20000000001</v>
      </c>
    </row>
    <row r="115" spans="1:4" ht="15.75" x14ac:dyDescent="0.25">
      <c r="A115" s="214" t="s">
        <v>890</v>
      </c>
      <c r="B115" s="136" t="s">
        <v>891</v>
      </c>
      <c r="C115" s="215">
        <v>38.026000000000003</v>
      </c>
      <c r="D115" s="215">
        <v>38.026000000000003</v>
      </c>
    </row>
    <row r="116" spans="1:4" ht="63.2" customHeight="1" x14ac:dyDescent="0.25">
      <c r="A116" s="214" t="s">
        <v>892</v>
      </c>
      <c r="B116" s="136" t="s">
        <v>893</v>
      </c>
      <c r="C116" s="215">
        <v>38.026000000000003</v>
      </c>
      <c r="D116" s="215">
        <v>38.026000000000003</v>
      </c>
    </row>
    <row r="117" spans="1:4" ht="63.2" customHeight="1" x14ac:dyDescent="0.25">
      <c r="A117" s="214" t="s">
        <v>894</v>
      </c>
      <c r="B117" s="136" t="s">
        <v>895</v>
      </c>
      <c r="C117" s="215">
        <v>38.026000000000003</v>
      </c>
      <c r="D117" s="215">
        <v>38.026000000000003</v>
      </c>
    </row>
    <row r="118" spans="1:4" ht="15.75" x14ac:dyDescent="0.25">
      <c r="A118" s="214" t="s">
        <v>896</v>
      </c>
      <c r="B118" s="136"/>
      <c r="C118" s="215">
        <v>549051.97100000002</v>
      </c>
      <c r="D118" s="215">
        <v>545559.73300000001</v>
      </c>
    </row>
  </sheetData>
  <mergeCells count="13">
    <mergeCell ref="B1:D1"/>
    <mergeCell ref="B2:D2"/>
    <mergeCell ref="B3:D3"/>
    <mergeCell ref="B6:D6"/>
    <mergeCell ref="A4:D4"/>
    <mergeCell ref="B7:D7"/>
    <mergeCell ref="B8:D8"/>
    <mergeCell ref="B9:D9"/>
    <mergeCell ref="A11:D11"/>
    <mergeCell ref="A14:A16"/>
    <mergeCell ref="B14:B16"/>
    <mergeCell ref="C14:C16"/>
    <mergeCell ref="D14:D1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Прил 1 (Доходы)</vt:lpstr>
      <vt:lpstr>Прил 2 (Ведомственная)</vt:lpstr>
      <vt:lpstr>Прил 3 (Программы)</vt:lpstr>
      <vt:lpstr>Прил 4 (источники)</vt:lpstr>
      <vt:lpstr>Прил 6 (Дотации)</vt:lpstr>
      <vt:lpstr>прил 4 (ведомст)</vt:lpstr>
      <vt:lpstr>прил 6 ( программ)</vt:lpstr>
      <vt:lpstr>прилож 8 (источ)</vt:lpstr>
      <vt:lpstr>прил 2 (доходы)</vt:lpstr>
      <vt:lpstr>'Прил 1 (Доходы)'!Область_печати</vt:lpstr>
      <vt:lpstr>'Прил 2 (Ведомственная)'!Область_печати</vt:lpstr>
      <vt:lpstr>'Прил 3 (Программы)'!Область_печати</vt:lpstr>
      <vt:lpstr>'Прил 6 (Дотации)'!Область_печати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Ковригина</cp:lastModifiedBy>
  <cp:lastPrinted>2019-12-09T06:45:28Z</cp:lastPrinted>
  <dcterms:created xsi:type="dcterms:W3CDTF">2019-08-26T11:33:00Z</dcterms:created>
  <dcterms:modified xsi:type="dcterms:W3CDTF">2019-12-09T06:48:34Z</dcterms:modified>
</cp:coreProperties>
</file>