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4" activeTab="7"/>
  </bookViews>
  <sheets>
    <sheet name="Прил. 1 (Доходы)" sheetId="1" r:id="rId1"/>
    <sheet name="Прил. 2 (Ведомственная)" sheetId="2" r:id="rId2"/>
    <sheet name="Прил. 3 (Программы)" sheetId="3" r:id="rId3"/>
    <sheet name="Прил. 4 (Источники)" sheetId="4" r:id="rId4"/>
    <sheet name="Прил. 6 (Дотации)" sheetId="5" r:id="rId5"/>
    <sheet name="Прил. таб. 15" sheetId="6" r:id="rId6"/>
    <sheet name="Прил. таб. 18" sheetId="7" r:id="rId7"/>
    <sheet name="Прил. таб. 20" sheetId="8" r:id="rId8"/>
    <sheet name="Прил. таб. 19" sheetId="9" r:id="rId9"/>
    <sheet name="Прил. таб. 7" sheetId="10" r:id="rId10"/>
    <sheet name="Прил. таб. 12" sheetId="11" r:id="rId11"/>
    <sheet name="Прил. таб. 13" sheetId="12" r:id="rId12"/>
    <sheet name="Прил. таб. 16" sheetId="13" r:id="rId13"/>
    <sheet name="Прил. таб. 17" sheetId="14" r:id="rId14"/>
  </sheets>
  <calcPr calcId="145621"/>
</workbook>
</file>

<file path=xl/calcChain.xml><?xml version="1.0" encoding="utf-8"?>
<calcChain xmlns="http://schemas.openxmlformats.org/spreadsheetml/2006/main">
  <c r="A4" i="8" l="1"/>
  <c r="A4" i="9"/>
  <c r="A4" i="14"/>
  <c r="A4" i="13"/>
  <c r="A4" i="12"/>
  <c r="A4" i="11"/>
  <c r="A4" i="10" l="1"/>
  <c r="D15" i="3"/>
  <c r="D391" i="3"/>
  <c r="D393" i="3"/>
  <c r="D368" i="3"/>
  <c r="D295" i="3"/>
  <c r="D189" i="3"/>
  <c r="D246" i="3"/>
  <c r="D169" i="3" l="1"/>
  <c r="D74" i="3"/>
  <c r="D73" i="3"/>
  <c r="D92" i="3"/>
  <c r="E17" i="2" l="1"/>
  <c r="E432" i="2"/>
  <c r="E411" i="2"/>
  <c r="E400" i="2"/>
  <c r="E379" i="2"/>
  <c r="E392" i="2"/>
  <c r="E176" i="2"/>
  <c r="E58" i="2"/>
  <c r="A4" i="7"/>
  <c r="A4" i="6"/>
  <c r="A4" i="5"/>
  <c r="A4" i="4"/>
  <c r="A4" i="3"/>
  <c r="A4" i="2"/>
  <c r="C111" i="1"/>
  <c r="C110" i="1" s="1"/>
  <c r="D335" i="3" l="1"/>
  <c r="D67" i="3"/>
  <c r="E77" i="2"/>
  <c r="E139" i="2"/>
  <c r="E360" i="2" l="1"/>
  <c r="E284" i="2"/>
  <c r="E248" i="2" l="1"/>
  <c r="D261" i="3"/>
  <c r="E179" i="2"/>
  <c r="E255" i="2"/>
  <c r="D265" i="3"/>
  <c r="E259" i="2"/>
  <c r="D241" i="3" l="1"/>
  <c r="E236" i="2"/>
  <c r="E187" i="2"/>
  <c r="F20" i="10"/>
  <c r="D330" i="3" l="1"/>
  <c r="E266" i="2"/>
  <c r="D143" i="3" l="1"/>
  <c r="D124" i="3"/>
  <c r="D125" i="3"/>
  <c r="D141" i="3"/>
  <c r="D123" i="3"/>
  <c r="E336" i="2"/>
  <c r="E317" i="2"/>
  <c r="E318" i="2"/>
  <c r="E334" i="2"/>
  <c r="E316" i="2"/>
  <c r="D349" i="3" l="1"/>
  <c r="D303" i="3"/>
  <c r="E153" i="2"/>
  <c r="E118" i="2"/>
  <c r="D192" i="3" l="1"/>
  <c r="D228" i="3" l="1"/>
  <c r="E223" i="2"/>
  <c r="E224" i="2"/>
  <c r="F19" i="14" l="1"/>
  <c r="B19" i="14"/>
  <c r="F17" i="14"/>
  <c r="E17" i="14"/>
  <c r="D17" i="14"/>
  <c r="C17" i="14"/>
  <c r="B17" i="14"/>
  <c r="B20" i="13"/>
  <c r="B19" i="13"/>
  <c r="F17" i="13"/>
  <c r="E17" i="13"/>
  <c r="D17" i="13"/>
  <c r="C17" i="13"/>
  <c r="B17" i="13"/>
  <c r="E20" i="12"/>
  <c r="B20" i="12"/>
  <c r="E19" i="12"/>
  <c r="E18" i="12" s="1"/>
  <c r="B19" i="12"/>
  <c r="B18" i="12" s="1"/>
  <c r="F18" i="12"/>
  <c r="D18" i="12"/>
  <c r="C18" i="12"/>
  <c r="F20" i="11"/>
  <c r="B20" i="11" s="1"/>
  <c r="B18" i="11" s="1"/>
  <c r="E18" i="11"/>
  <c r="D18" i="11"/>
  <c r="C18" i="11"/>
  <c r="B20" i="10"/>
  <c r="F18" i="10"/>
  <c r="E18" i="10"/>
  <c r="D18" i="10"/>
  <c r="C18" i="10"/>
  <c r="B18" i="10"/>
  <c r="B24" i="9"/>
  <c r="F23" i="9"/>
  <c r="B23" i="9"/>
  <c r="F22" i="9"/>
  <c r="B22" i="9" s="1"/>
  <c r="F21" i="9"/>
  <c r="B21" i="9"/>
  <c r="F20" i="9"/>
  <c r="B20" i="9" s="1"/>
  <c r="E18" i="9"/>
  <c r="D18" i="9"/>
  <c r="C18" i="9"/>
  <c r="E21" i="8"/>
  <c r="B21" i="8"/>
  <c r="E20" i="8"/>
  <c r="B20" i="8" s="1"/>
  <c r="B18" i="8" s="1"/>
  <c r="F18" i="8"/>
  <c r="D18" i="8"/>
  <c r="C18" i="8"/>
  <c r="B20" i="7"/>
  <c r="D18" i="7"/>
  <c r="C18" i="7"/>
  <c r="B18" i="7"/>
  <c r="B20" i="6"/>
  <c r="B18" i="6" s="1"/>
  <c r="D18" i="6"/>
  <c r="C18" i="6"/>
  <c r="B28" i="5"/>
  <c r="B27" i="5"/>
  <c r="B26" i="5"/>
  <c r="B25" i="5"/>
  <c r="B24" i="5"/>
  <c r="B23" i="5"/>
  <c r="B22" i="5"/>
  <c r="B20" i="5"/>
  <c r="D18" i="5"/>
  <c r="C18" i="5"/>
  <c r="B18" i="5"/>
  <c r="I27" i="4"/>
  <c r="I26" i="4" s="1"/>
  <c r="I25" i="4" s="1"/>
  <c r="I24" i="4"/>
  <c r="I23" i="4" s="1"/>
  <c r="I22" i="4" s="1"/>
  <c r="I21" i="4" s="1"/>
  <c r="D392" i="3"/>
  <c r="D390" i="3"/>
  <c r="D387" i="3"/>
  <c r="D385" i="3"/>
  <c r="D382" i="3"/>
  <c r="D381" i="3"/>
  <c r="D379" i="3" s="1"/>
  <c r="D374" i="3"/>
  <c r="D373" i="3"/>
  <c r="D372" i="3" s="1"/>
  <c r="D371" i="3"/>
  <c r="D370" i="3"/>
  <c r="D369" i="3"/>
  <c r="D367" i="3"/>
  <c r="D366" i="3"/>
  <c r="D365" i="3"/>
  <c r="D364" i="3"/>
  <c r="D363" i="3" s="1"/>
  <c r="D354" i="3"/>
  <c r="D353" i="3"/>
  <c r="D352" i="3"/>
  <c r="D351" i="3" s="1"/>
  <c r="D348" i="3"/>
  <c r="D343" i="3"/>
  <c r="D342" i="3"/>
  <c r="D337" i="3" s="1"/>
  <c r="D336" i="3" s="1"/>
  <c r="D340" i="3"/>
  <c r="D339" i="3"/>
  <c r="D338" i="3"/>
  <c r="D334" i="3"/>
  <c r="D332" i="3"/>
  <c r="D331" i="3" s="1"/>
  <c r="D329" i="3"/>
  <c r="D328" i="3"/>
  <c r="D327" i="3" s="1"/>
  <c r="D326" i="3"/>
  <c r="D325" i="3"/>
  <c r="D323" i="3"/>
  <c r="D322" i="3" s="1"/>
  <c r="D317" i="3"/>
  <c r="D315" i="3"/>
  <c r="D314" i="3"/>
  <c r="D313" i="3" s="1"/>
  <c r="D309" i="3"/>
  <c r="D308" i="3"/>
  <c r="D307" i="3"/>
  <c r="D305" i="3"/>
  <c r="D304" i="3"/>
  <c r="D302" i="3"/>
  <c r="D301" i="3" s="1"/>
  <c r="D296" i="3"/>
  <c r="D294" i="3"/>
  <c r="D293" i="3" s="1"/>
  <c r="D292" i="3"/>
  <c r="D291" i="3"/>
  <c r="D286" i="3"/>
  <c r="D285" i="3"/>
  <c r="D284" i="3"/>
  <c r="D283" i="3" s="1"/>
  <c r="D280" i="3" s="1"/>
  <c r="D279" i="3"/>
  <c r="D278" i="3"/>
  <c r="D277" i="3" s="1"/>
  <c r="D276" i="3"/>
  <c r="D275" i="3"/>
  <c r="D274" i="3"/>
  <c r="D273" i="3"/>
  <c r="D272" i="3" s="1"/>
  <c r="D271" i="3"/>
  <c r="D270" i="3"/>
  <c r="D269" i="3"/>
  <c r="D266" i="3"/>
  <c r="D264" i="3"/>
  <c r="D254" i="3" s="1"/>
  <c r="D249" i="3"/>
  <c r="D245" i="3"/>
  <c r="D244" i="3" s="1"/>
  <c r="D243" i="3"/>
  <c r="D242" i="3" s="1"/>
  <c r="D240" i="3"/>
  <c r="D238" i="3"/>
  <c r="D237" i="3"/>
  <c r="D236" i="3"/>
  <c r="D235" i="3"/>
  <c r="D234" i="3" s="1"/>
  <c r="D233" i="3"/>
  <c r="D232" i="3"/>
  <c r="D227" i="3"/>
  <c r="D224" i="3"/>
  <c r="D223" i="3" s="1"/>
  <c r="D222" i="3"/>
  <c r="D221" i="3" s="1"/>
  <c r="D218" i="3"/>
  <c r="D217" i="3" s="1"/>
  <c r="D210" i="3"/>
  <c r="D209" i="3"/>
  <c r="D208" i="3" s="1"/>
  <c r="D203" i="3"/>
  <c r="D202" i="3" s="1"/>
  <c r="D199" i="3"/>
  <c r="D198" i="3" s="1"/>
  <c r="D191" i="3"/>
  <c r="D190" i="3" s="1"/>
  <c r="D188" i="3"/>
  <c r="D187" i="3"/>
  <c r="D186" i="3"/>
  <c r="D185" i="3"/>
  <c r="D184" i="3" s="1"/>
  <c r="D183" i="3"/>
  <c r="D182" i="3" s="1"/>
  <c r="D179" i="3"/>
  <c r="D178" i="3" s="1"/>
  <c r="D171" i="3"/>
  <c r="D170" i="3"/>
  <c r="D168" i="3"/>
  <c r="D164" i="3"/>
  <c r="D163" i="3"/>
  <c r="D162" i="3" s="1"/>
  <c r="D156" i="3"/>
  <c r="D155" i="3" s="1"/>
  <c r="D154" i="3"/>
  <c r="D153" i="3" s="1"/>
  <c r="D152" i="3"/>
  <c r="D151" i="3" s="1"/>
  <c r="D150" i="3"/>
  <c r="D149" i="3" s="1"/>
  <c r="D148" i="3"/>
  <c r="D147" i="3" s="1"/>
  <c r="D146" i="3" s="1"/>
  <c r="D145" i="3"/>
  <c r="D144" i="3"/>
  <c r="D142" i="3"/>
  <c r="D140" i="3"/>
  <c r="D136" i="3"/>
  <c r="D135" i="3" s="1"/>
  <c r="D134" i="3"/>
  <c r="D133" i="3" s="1"/>
  <c r="D132" i="3"/>
  <c r="D131" i="3" s="1"/>
  <c r="D130" i="3"/>
  <c r="D129" i="3" s="1"/>
  <c r="D128" i="3" s="1"/>
  <c r="D127" i="3"/>
  <c r="D126" i="3"/>
  <c r="D122" i="3"/>
  <c r="D121" i="3" s="1"/>
  <c r="D116" i="3"/>
  <c r="D115" i="3"/>
  <c r="D114" i="3"/>
  <c r="D113" i="3"/>
  <c r="D112" i="3"/>
  <c r="D111" i="3"/>
  <c r="D110" i="3"/>
  <c r="D109" i="3"/>
  <c r="D108" i="3" s="1"/>
  <c r="D104" i="3"/>
  <c r="D103" i="3" s="1"/>
  <c r="D102" i="3" s="1"/>
  <c r="D101" i="3"/>
  <c r="D100" i="3"/>
  <c r="D99" i="3" s="1"/>
  <c r="D91" i="3"/>
  <c r="D90" i="3"/>
  <c r="D89" i="3" s="1"/>
  <c r="D88" i="3" s="1"/>
  <c r="D78" i="3"/>
  <c r="D77" i="3"/>
  <c r="D76" i="3"/>
  <c r="D75" i="3"/>
  <c r="D72" i="3"/>
  <c r="D71" i="3"/>
  <c r="D70" i="3" s="1"/>
  <c r="D66" i="3"/>
  <c r="D55" i="3"/>
  <c r="D54" i="3" s="1"/>
  <c r="D48" i="3"/>
  <c r="D47" i="3" s="1"/>
  <c r="D46" i="3"/>
  <c r="D45" i="3" s="1"/>
  <c r="D30" i="3"/>
  <c r="D29" i="3" s="1"/>
  <c r="D16" i="3" s="1"/>
  <c r="D26" i="3"/>
  <c r="D25" i="3" s="1"/>
  <c r="D24" i="3"/>
  <c r="D23" i="3" s="1"/>
  <c r="D22" i="3"/>
  <c r="D21" i="3" s="1"/>
  <c r="D20" i="3"/>
  <c r="D19" i="3" s="1"/>
  <c r="D18" i="3" s="1"/>
  <c r="D17" i="3"/>
  <c r="E431" i="2"/>
  <c r="E428" i="2"/>
  <c r="E427" i="2"/>
  <c r="E418" i="2" s="1"/>
  <c r="E417" i="2" s="1"/>
  <c r="E412" i="2"/>
  <c r="E410" i="2"/>
  <c r="E409" i="2" s="1"/>
  <c r="E408" i="2"/>
  <c r="E407" i="2"/>
  <c r="E399" i="2"/>
  <c r="E398" i="2" s="1"/>
  <c r="E397" i="2"/>
  <c r="E395" i="2"/>
  <c r="E394" i="2" s="1"/>
  <c r="E393" i="2" s="1"/>
  <c r="E391" i="2"/>
  <c r="E390" i="2" s="1"/>
  <c r="E389" i="2" s="1"/>
  <c r="E388" i="2"/>
  <c r="E387" i="2"/>
  <c r="E386" i="2" s="1"/>
  <c r="E382" i="2"/>
  <c r="E381" i="2"/>
  <c r="E380" i="2"/>
  <c r="E378" i="2"/>
  <c r="E377" i="2"/>
  <c r="E376" i="2"/>
  <c r="E375" i="2" s="1"/>
  <c r="E374" i="2" s="1"/>
  <c r="E373" i="2"/>
  <c r="E372" i="2"/>
  <c r="E369" i="2"/>
  <c r="E368" i="2" s="1"/>
  <c r="E367" i="2" s="1"/>
  <c r="E362" i="2"/>
  <c r="E361" i="2" s="1"/>
  <c r="E359" i="2"/>
  <c r="E356" i="2"/>
  <c r="E355" i="2" s="1"/>
  <c r="E349" i="2"/>
  <c r="E348" i="2"/>
  <c r="E347" i="2"/>
  <c r="E346" i="2" s="1"/>
  <c r="E345" i="2"/>
  <c r="E344" i="2"/>
  <c r="E343" i="2"/>
  <c r="E342" i="2" s="1"/>
  <c r="E341" i="2"/>
  <c r="E340" i="2"/>
  <c r="E339" i="2" s="1"/>
  <c r="E338" i="2"/>
  <c r="E337" i="2"/>
  <c r="E335" i="2"/>
  <c r="E333" i="2"/>
  <c r="E329" i="2"/>
  <c r="E328" i="2" s="1"/>
  <c r="E327" i="2"/>
  <c r="E326" i="2"/>
  <c r="E325" i="2"/>
  <c r="E324" i="2" s="1"/>
  <c r="E323" i="2"/>
  <c r="E322" i="2"/>
  <c r="E321" i="2" s="1"/>
  <c r="E320" i="2"/>
  <c r="E319" i="2"/>
  <c r="E315" i="2"/>
  <c r="E312" i="2" s="1"/>
  <c r="E309" i="2"/>
  <c r="E308" i="2" s="1"/>
  <c r="E307" i="2" s="1"/>
  <c r="E306" i="2" s="1"/>
  <c r="E305" i="2"/>
  <c r="E302" i="2" s="1"/>
  <c r="E299" i="2" s="1"/>
  <c r="E298" i="2" s="1"/>
  <c r="E304" i="2"/>
  <c r="E303" i="2"/>
  <c r="E297" i="2"/>
  <c r="E296" i="2"/>
  <c r="E295" i="2"/>
  <c r="E294" i="2" s="1"/>
  <c r="E291" i="2" s="1"/>
  <c r="E293" i="2"/>
  <c r="E292" i="2"/>
  <c r="E283" i="2"/>
  <c r="E277" i="2"/>
  <c r="E276" i="2"/>
  <c r="E275" i="2"/>
  <c r="E274" i="2" s="1"/>
  <c r="E271" i="2"/>
  <c r="E270" i="2" s="1"/>
  <c r="E269" i="2" s="1"/>
  <c r="E268" i="2" s="1"/>
  <c r="E265" i="2"/>
  <c r="E264" i="2"/>
  <c r="E263" i="2" s="1"/>
  <c r="E262" i="2" s="1"/>
  <c r="E260" i="2"/>
  <c r="E258" i="2"/>
  <c r="E242" i="2"/>
  <c r="E241" i="2"/>
  <c r="E240" i="2" s="1"/>
  <c r="E239" i="2"/>
  <c r="E238" i="2"/>
  <c r="E237" i="2" s="1"/>
  <c r="E235" i="2"/>
  <c r="E233" i="2"/>
  <c r="E232" i="2"/>
  <c r="E231" i="2"/>
  <c r="E230" i="2"/>
  <c r="E229" i="2" s="1"/>
  <c r="E228" i="2"/>
  <c r="E227" i="2"/>
  <c r="E222" i="2"/>
  <c r="E221" i="2" s="1"/>
  <c r="E218" i="2"/>
  <c r="E217" i="2"/>
  <c r="E214" i="2"/>
  <c r="E213" i="2" s="1"/>
  <c r="E205" i="2"/>
  <c r="E204" i="2"/>
  <c r="E203" i="2" s="1"/>
  <c r="E198" i="2"/>
  <c r="E197" i="2"/>
  <c r="E194" i="2"/>
  <c r="E193" i="2" s="1"/>
  <c r="E190" i="2" s="1"/>
  <c r="E186" i="2"/>
  <c r="E185" i="2" s="1"/>
  <c r="E182" i="2"/>
  <c r="E181" i="2"/>
  <c r="E180" i="2" s="1"/>
  <c r="E178" i="2"/>
  <c r="E177" i="2"/>
  <c r="E175" i="2"/>
  <c r="E172" i="2"/>
  <c r="E170" i="2"/>
  <c r="E169" i="2"/>
  <c r="E167" i="2" s="1"/>
  <c r="E166" i="2"/>
  <c r="E165" i="2"/>
  <c r="E164" i="2" s="1"/>
  <c r="E163" i="2"/>
  <c r="E161" i="2"/>
  <c r="E156" i="2"/>
  <c r="E155" i="2" s="1"/>
  <c r="E152" i="2"/>
  <c r="E147" i="2"/>
  <c r="E146" i="2"/>
  <c r="E145" i="2"/>
  <c r="E144" i="2" s="1"/>
  <c r="E143" i="2"/>
  <c r="E142" i="2"/>
  <c r="E141" i="2"/>
  <c r="E140" i="2" s="1"/>
  <c r="E138" i="2"/>
  <c r="E137" i="2"/>
  <c r="E136" i="2" s="1"/>
  <c r="E135" i="2" s="1"/>
  <c r="E134" i="2"/>
  <c r="E133" i="2"/>
  <c r="E132" i="2"/>
  <c r="E131" i="2" s="1"/>
  <c r="E128" i="2"/>
  <c r="E125" i="2"/>
  <c r="E123" i="2" s="1"/>
  <c r="E122" i="2" s="1"/>
  <c r="E120" i="2"/>
  <c r="E117" i="2" s="1"/>
  <c r="E116" i="2" s="1"/>
  <c r="E119" i="2"/>
  <c r="E115" i="2"/>
  <c r="E114" i="2" s="1"/>
  <c r="E113" i="2" s="1"/>
  <c r="E112" i="2"/>
  <c r="E111" i="2" s="1"/>
  <c r="E110" i="2" s="1"/>
  <c r="E109" i="2"/>
  <c r="E108" i="2"/>
  <c r="E107" i="2"/>
  <c r="E106" i="2" s="1"/>
  <c r="E105" i="2" s="1"/>
  <c r="E103" i="2"/>
  <c r="E102" i="2" s="1"/>
  <c r="E101" i="2"/>
  <c r="E100" i="2"/>
  <c r="E99" i="2"/>
  <c r="E98" i="2" s="1"/>
  <c r="E95" i="2"/>
  <c r="E94" i="2"/>
  <c r="E93" i="2" s="1"/>
  <c r="E91" i="2"/>
  <c r="E90" i="2"/>
  <c r="E89" i="2" s="1"/>
  <c r="E84" i="2" s="1"/>
  <c r="E82" i="2"/>
  <c r="E81" i="2" s="1"/>
  <c r="E80" i="2" s="1"/>
  <c r="E57" i="2" s="1"/>
  <c r="E76" i="2"/>
  <c r="E67" i="2"/>
  <c r="E66" i="2" s="1"/>
  <c r="E62" i="2"/>
  <c r="E61" i="2"/>
  <c r="E60" i="2"/>
  <c r="E59" i="2" s="1"/>
  <c r="E44" i="2"/>
  <c r="E43" i="2" s="1"/>
  <c r="E42" i="2"/>
  <c r="E41" i="2"/>
  <c r="E40" i="2"/>
  <c r="E39" i="2" s="1"/>
  <c r="E38" i="2"/>
  <c r="E37" i="2"/>
  <c r="E36" i="2" s="1"/>
  <c r="E35" i="2"/>
  <c r="E34" i="2"/>
  <c r="E32" i="2"/>
  <c r="E31" i="2" s="1"/>
  <c r="E30" i="2" s="1"/>
  <c r="E29" i="2" s="1"/>
  <c r="E28" i="2" s="1"/>
  <c r="E27" i="2"/>
  <c r="E25" i="2"/>
  <c r="E22" i="2"/>
  <c r="E21" i="2"/>
  <c r="E20" i="2"/>
  <c r="E19" i="2" s="1"/>
  <c r="E18" i="2" s="1"/>
  <c r="D347" i="3" l="1"/>
  <c r="D346" i="3" s="1"/>
  <c r="D287" i="3"/>
  <c r="D268" i="3" s="1"/>
  <c r="E403" i="2"/>
  <c r="E402" i="2" s="1"/>
  <c r="E401" i="2" s="1"/>
  <c r="D306" i="3"/>
  <c r="E121" i="2"/>
  <c r="E273" i="2"/>
  <c r="E272" i="2" s="1"/>
  <c r="E267" i="2" s="1"/>
  <c r="E234" i="2"/>
  <c r="F18" i="11"/>
  <c r="B18" i="9"/>
  <c r="F18" i="9"/>
  <c r="E18" i="8"/>
  <c r="I20" i="4"/>
  <c r="I19" i="4" s="1"/>
  <c r="D118" i="3"/>
  <c r="D137" i="3"/>
  <c r="D44" i="3"/>
  <c r="D43" i="3" s="1"/>
  <c r="D177" i="3"/>
  <c r="D195" i="3"/>
  <c r="D215" i="3"/>
  <c r="D239" i="3"/>
  <c r="E104" i="2"/>
  <c r="E151" i="2"/>
  <c r="E150" i="2" s="1"/>
  <c r="E210" i="2"/>
  <c r="E184" i="2" s="1"/>
  <c r="E354" i="2"/>
  <c r="E83" i="2"/>
  <c r="E92" i="2"/>
  <c r="E330" i="2"/>
  <c r="E311" i="2" l="1"/>
  <c r="E310" i="2" s="1"/>
  <c r="D117" i="3"/>
</calcChain>
</file>

<file path=xl/sharedStrings.xml><?xml version="1.0" encoding="utf-8"?>
<sst xmlns="http://schemas.openxmlformats.org/spreadsheetml/2006/main" count="2942" uniqueCount="803">
  <si>
    <t>Приложение № 1</t>
  </si>
  <si>
    <t xml:space="preserve">к решению Совета </t>
  </si>
  <si>
    <t>муниципального района "Княжпогостский"</t>
  </si>
  <si>
    <t>от 24 декабря 2018 г. № 302</t>
  </si>
  <si>
    <t xml:space="preserve">Объём поступлений в бюджет муниципального района "Княжпогостский" на 2019 год и плановый период 2020 -2021 годов </t>
  </si>
  <si>
    <t xml:space="preserve">
(тыс. руб.)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</si>
  <si>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</si>
  <si>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</si>
  <si>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Сумма</t>
  </si>
  <si>
    <t>3</t>
  </si>
  <si>
    <t>1</t>
  </si>
  <si>
    <t>ДОХОДЫ</t>
  </si>
  <si>
    <t xml:space="preserve">1 00 00 000 00 0000 000 </t>
  </si>
  <si>
    <t>НАЛОГОВЫЕ И НЕНАЛОГОВЫЕ ДОХОДЫ</t>
  </si>
  <si>
    <t>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</si>
  <si>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</si>
  <si>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</si>
  <si>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</si>
  <si>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</si>
  <si>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</si>
  <si>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</si>
  <si>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</si>
  <si>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</si>
  <si>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</si>
  <si>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</si>
  <si>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</si>
  <si>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</si>
  <si>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</si>
  <si>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</si>
  <si>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</si>
  <si>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</si>
  <si>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</si>
  <si>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</si>
  <si>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</si>
  <si>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</si>
  <si>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</si>
  <si>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</si>
  <si>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</si>
  <si>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</si>
  <si>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</si>
  <si>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</si>
  <si>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1 05 00 000 00 0000 000 </t>
  </si>
  <si>
    <t>НАЛОГИ НА СОВОКУПНЫЙ ДОХОД</t>
  </si>
  <si>
    <t xml:space="preserve">1 05 01 000 00 0000 110 </t>
  </si>
  <si>
    <t>Налог, взимаемый в связи с применением упрощенной системы налогообложения</t>
  </si>
  <si>
    <t xml:space="preserve">1 05 01 010 01 0000 110 </t>
  </si>
  <si>
    <t>Налог, взимаемый с налогоплательщиков, выбравших в качестве объекта налогообложения доходы</t>
  </si>
  <si>
    <t xml:space="preserve">1 05 01 011 01 0000 110 </t>
  </si>
  <si>
    <t xml:space="preserve">1 05 01 020 01 0000 110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</si>
  <si>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</si>
  <si>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1 05 01 021 01 0000 110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</si>
  <si>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</si>
  <si>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1 05 02 000 02 0000 110 </t>
  </si>
  <si>
    <t>Единый налог на вмененный доход для отдельных видов деятельности</t>
  </si>
  <si>
    <t xml:space="preserve">1 05 02 010 02 0000 110 </t>
  </si>
  <si>
    <t xml:space="preserve">1 05 02 020 02 0000 110 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</si>
  <si>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</si>
  <si>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1 05 03 000 01 0000 110 </t>
  </si>
  <si>
    <t>Единый сельскохозяйственный налог</t>
  </si>
  <si>
    <t xml:space="preserve">1 05 03 010 01 0000 110 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</si>
  <si>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</si>
  <si>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</si>
  <si>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</si>
  <si>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</si>
  <si>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1 06 00 000 00 0000 000 </t>
  </si>
  <si>
    <t>НАЛОГИ НА ИМУЩЕСТВО</t>
  </si>
  <si>
    <t xml:space="preserve">1 06 06 000 00 0000 110 </t>
  </si>
  <si>
    <t>Земельный налог</t>
  </si>
  <si>
    <t xml:space="preserve">1 06 06 030 00 0000 110 </t>
  </si>
  <si>
    <t>Земельный налог с организаций</t>
  </si>
  <si>
    <t xml:space="preserve">1 06 06 033 05 0000 110 </t>
  </si>
  <si>
    <t>Земельный налог с организаций, обладающих земельным участком, расположенным в границах межселенных территорий</t>
  </si>
  <si>
    <t xml:space="preserve">1 06 06 040 00 0000 110 </t>
  </si>
  <si>
    <t>Земельный налог с физических лиц</t>
  </si>
  <si>
    <t xml:space="preserve">1 06 06 043 05 0000 110 </t>
  </si>
  <si>
    <t>Земельный налог с физических лиц, обладающих земельным участком, расположенным в границах межселенных территорий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</si>
  <si>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</si>
  <si>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</si>
  <si>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</si>
  <si>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</si>
  <si>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 xml:space="preserve">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</si>
  <si>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</si>
  <si>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</si>
  <si>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</si>
  <si>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</si>
  <si>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</si>
  <si>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</si>
  <si>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</si>
  <si>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</si>
  <si>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</si>
  <si>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</si>
  <si>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</si>
  <si>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</si>
  <si>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</si>
  <si>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</si>
  <si>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</si>
  <si>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</si>
  <si>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</si>
  <si>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</si>
  <si>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</si>
  <si>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</si>
  <si>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</si>
  <si>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</si>
  <si>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</si>
  <si>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</si>
  <si>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</si>
  <si>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</si>
  <si>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</si>
  <si>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</si>
  <si>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</si>
  <si>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</si>
  <si>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1 12 01 010 01 0000 120 </t>
  </si>
  <si>
    <t>Плата за выбросы загрязняющих веществ в атмосферный воздух стационарными объектами</t>
  </si>
  <si>
    <t xml:space="preserve">1 12 01 030 01 0000 120 </t>
  </si>
  <si>
    <t>Плата за сбросы загрязняющих веществ в водные объекты</t>
  </si>
  <si>
    <t xml:space="preserve">1 12 01 040 01 0000 120 </t>
  </si>
  <si>
    <t>Плата за размещение отходов производства и потребления</t>
  </si>
  <si>
    <t xml:space="preserve">1 13 00 000 00 0000 000 </t>
  </si>
  <si>
    <t>ДОХОДЫ ОТ ОКАЗАНИЯ ПЛАТНЫХ УСЛУГ И КОМПЕНСАЦИИ ЗАТРАТ ГОСУДАРСТВА</t>
  </si>
  <si>
    <t xml:space="preserve">1 13 02 000 00 0000 130 </t>
  </si>
  <si>
    <t>Доходы от компенсации затрат государства</t>
  </si>
  <si>
    <t xml:space="preserve">1 13 02 990 00 0000 130 </t>
  </si>
  <si>
    <t>Прочие доходы от компенсации затрат государства</t>
  </si>
  <si>
    <t xml:space="preserve">1 13 02 995 05 0000 130 </t>
  </si>
  <si>
    <t>Прочие доходы от компенсации затрат бюджетов муниципальных районов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</si>
  <si>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</si>
  <si>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</si>
  <si>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</si>
  <si>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</si>
  <si>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</si>
  <si>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</si>
  <si>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</si>
  <si>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</si>
  <si>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</si>
  <si>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</si>
  <si>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1 14 06 010 00 0000 430 </t>
  </si>
  <si>
    <t>Доходы от продажи земельных участков, государственная собственность на которые не разграничена</t>
  </si>
  <si>
    <t xml:space="preserve">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</si>
  <si>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</si>
  <si>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</si>
  <si>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</si>
  <si>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</si>
  <si>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</si>
  <si>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</si>
  <si>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</si>
  <si>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1 16 00 000 00 0000 000 </t>
  </si>
  <si>
    <t>ШТРАФЫ, САНКЦИИ, ВОЗМЕЩЕНИЕ УЩЕРБА</t>
  </si>
  <si>
    <t xml:space="preserve">1 16 03 000 00 0000 140 </t>
  </si>
  <si>
    <t>Денежные взыскания (штрафы) за нарушение законодательства о налогах и сборах</t>
  </si>
  <si>
    <t xml:space="preserve">1 16 03 010 01 0000 140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</si>
  <si>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</si>
  <si>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1 16 03 030 01 0000 140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</si>
  <si>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</si>
  <si>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</si>
  <si>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</si>
  <si>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</si>
  <si>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</si>
  <si>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1 16 18 000 00 0000 140 </t>
  </si>
  <si>
    <t>Денежные взыскания (штрафы) за нарушение бюджетного законодательства Российской Федерации</t>
  </si>
  <si>
    <t xml:space="preserve">1 16 18 050 05 0000 140 </t>
  </si>
  <si>
    <t>Денежные взыскания (штрафы) за нарушение бюджетного законодательства (в части бюджетов муниципальных районов)</t>
  </si>
  <si>
    <t xml:space="preserve">1 16 25 000 00 0000 140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</si>
  <si>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</si>
  <si>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1 16 25 020 01 0000 140 </t>
  </si>
  <si>
    <t>Денежные взыскания (штрафы) за нарушение законодательства Российской Федерации об особо охраняемых природных территориях</t>
  </si>
  <si>
    <t xml:space="preserve">1 16 25 030 01 0000 140 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</si>
  <si>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</si>
  <si>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1 16 25 050 01 0000 140 </t>
  </si>
  <si>
    <t>Денежные взыскания (штрафы) за нарушение законодательства в области охраны окружающей среды</t>
  </si>
  <si>
    <t xml:space="preserve">1 16 25 060 01 0000 140 </t>
  </si>
  <si>
    <t>Денежные взыскания (штрафы) за нарушение земельного законодательства</t>
  </si>
  <si>
    <t xml:space="preserve">1 16 28 000 01 0000 140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</si>
  <si>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</si>
  <si>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1 16 30 000 01 0000 140 </t>
  </si>
  <si>
    <t>Денежные взыскания (штрафы) за правонарушения в области дорожного движения</t>
  </si>
  <si>
    <t xml:space="preserve">1 16 30 030 01 0000 140 </t>
  </si>
  <si>
    <t>Прочие денежные взыскания (штрафы) за правонарушения в области дорожного движения</t>
  </si>
  <si>
    <t xml:space="preserve">1 16 33 000 00 0000 140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</si>
  <si>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</si>
  <si>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1 16 33 050 05 0000 140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</si>
  <si>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</si>
  <si>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1 16 35 000 00 0000 140 </t>
  </si>
  <si>
    <t>Суммы по искам о возмещении вреда, причиненного окружающей среде</t>
  </si>
  <si>
    <t xml:space="preserve">1 16 35 030 05 0000 140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</si>
  <si>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</si>
  <si>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1 16 43 000 01 0000 140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</si>
  <si>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</si>
  <si>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1 16 90 000 00 0000 140 </t>
  </si>
  <si>
    <t>Прочие поступления от денежных взысканий (штрафов) и иных сумм в возмещение ущерба</t>
  </si>
  <si>
    <t xml:space="preserve">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</si>
  <si>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</si>
  <si>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</si>
  <si>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</si>
  <si>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</si>
  <si>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</si>
  <si>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2 02 10 000 00 0000 150 </t>
  </si>
  <si>
    <t>Дотации бюджетам бюджетной системы Российской Федерации</t>
  </si>
  <si>
    <t xml:space="preserve">2 02 15 001 00 0000 150 </t>
  </si>
  <si>
    <t>Дотации на выравнивание бюджетной обеспеченности</t>
  </si>
  <si>
    <t xml:space="preserve">2 02 15 001 05 0000 150 </t>
  </si>
  <si>
    <t>Дотации бюджетам муниципальных районов на выравнивание бюджетной обеспеченности</t>
  </si>
  <si>
    <t xml:space="preserve">2 02 15 002 00 0000 150 </t>
  </si>
  <si>
    <t>Дотации бюджетам на поддержку мер по обеспечению сбалансированности бюджетов</t>
  </si>
  <si>
    <t xml:space="preserve">2 02 15 002 05 0000 150 </t>
  </si>
  <si>
    <t>Дотации бюджетам муниципальных районов на поддержку мер по обеспечению сбалансированности бюджетов</t>
  </si>
  <si>
    <t xml:space="preserve">2 02 20 000 00 0000 150 </t>
  </si>
  <si>
    <t>Субсидии бюджетам бюджетной системы Российской Федерации (межбюджетные субсидии)</t>
  </si>
  <si>
    <t xml:space="preserve">2 02 20 299 00 0000 150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</si>
  <si>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</si>
  <si>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2 02 20 299 05 0000 150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</si>
  <si>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</si>
  <si>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2 02 20 302 00 0000 150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</si>
  <si>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</si>
  <si>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2 02 20 302 05 0000 150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</si>
  <si>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</si>
  <si>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</si>
  <si>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</si>
  <si>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2 02 25 467 05 0000 150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</si>
  <si>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</si>
  <si>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2 02 25 497 00 0000 150 </t>
  </si>
  <si>
    <t>Субсидии бюджетам на реализацию мероприятий по обеспечению жильем молодых семей</t>
  </si>
  <si>
    <t xml:space="preserve">2 02 25 497 05 0000 150 </t>
  </si>
  <si>
    <t>Субсидии бюджетам муниципальных районов на реализацию мероприятий по обеспечению жильем молодых семей</t>
  </si>
  <si>
    <t xml:space="preserve">2 02 25 519 00 0000 150 </t>
  </si>
  <si>
    <t>Субсидия бюджетам на поддержку отрасли культуры</t>
  </si>
  <si>
    <t xml:space="preserve">2 02 25 519 05 0000 150 </t>
  </si>
  <si>
    <t>Субсидия бюджетам муниципальных районов на поддержку отрасли культуры</t>
  </si>
  <si>
    <t xml:space="preserve">2 02 29 999 00 0000 150 </t>
  </si>
  <si>
    <t>Прочие субсидии</t>
  </si>
  <si>
    <t xml:space="preserve">2 02 29 999 05 0000 150 </t>
  </si>
  <si>
    <t>Прочие субсидии бюджетам муниципальных районов</t>
  </si>
  <si>
    <t xml:space="preserve">2 02 30 000 00 0000 150 </t>
  </si>
  <si>
    <t>Субвенции бюджетам бюджетной системы Российской Федерации</t>
  </si>
  <si>
    <t xml:space="preserve">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</si>
  <si>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</si>
  <si>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</si>
  <si>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</si>
  <si>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2 02 30 029 00 0000 150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</si>
  <si>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</si>
  <si>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2 02 30 029 05 0000 150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</si>
  <si>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</si>
  <si>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</si>
  <si>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</si>
  <si>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</si>
  <si>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</si>
  <si>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</si>
  <si>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</si>
  <si>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2 02 35 118 05 0000 150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</si>
  <si>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</si>
  <si>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</si>
  <si>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</si>
  <si>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2 02 35 120 05 0000 150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</si>
  <si>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</si>
  <si>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2 02 35 135 00 0000 150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</si>
  <si>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</si>
  <si>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2 02 35 135 05 0000 150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</si>
  <si>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</si>
  <si>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2 02 35 176 00 0000 150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</si>
  <si>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</si>
  <si>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2 02 35 176 05 0000 150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</si>
  <si>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</si>
  <si>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2 02 35 930 00 0000 150 </t>
  </si>
  <si>
    <t>Субвенции бюджетам на государственную регистрацию актов гражданского состояния</t>
  </si>
  <si>
    <t xml:space="preserve">2 02 35 930 05 0000 150 </t>
  </si>
  <si>
    <t>Субвенции бюджетам муниципальных районов на государственную регистрацию актов гражданского состояния</t>
  </si>
  <si>
    <t xml:space="preserve">2 02 39 999 00 0000 150 </t>
  </si>
  <si>
    <t>Прочие субвенции</t>
  </si>
  <si>
    <t xml:space="preserve">2 02 39 999 05 0000 150 </t>
  </si>
  <si>
    <t>Прочие субвенции бюджетам муниципальных районов</t>
  </si>
  <si>
    <t xml:space="preserve">2 02 40 000 00 0000 150 </t>
  </si>
  <si>
    <t>Иные межбюджетные трансферты</t>
  </si>
  <si>
    <t xml:space="preserve">2 02 40 014 00 0000 150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</si>
  <si>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</si>
  <si>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2 02 40 014 05 0000 150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</si>
  <si>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</si>
  <si>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</si>
  <si>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Приложение № 2</t>
  </si>
  <si>
    <t>Приложение № 3</t>
  </si>
  <si>
    <t>Ведомственная структура расходов бюджета муниципального района "Княжпогостский" на 2019 год</t>
  </si>
  <si>
    <t xml:space="preserve"> (тыс. руб.)</t>
  </si>
  <si>
    <t>Наименование</t>
  </si>
  <si>
    <t>Мин</t>
  </si>
  <si>
    <t>ЦСР</t>
  </si>
  <si>
    <t>ВР</t>
  </si>
  <si>
    <t>Всего</t>
  </si>
  <si>
    <t>КОНТРОЛЬНО-СЧЕТНАЯ ПАЛАТА КНЯЖПОГОСТСКОГО РАЙОНА</t>
  </si>
  <si>
    <t>905</t>
  </si>
  <si>
    <t>Непрограммные мероприятия</t>
  </si>
  <si>
    <t>99.0.00.00000</t>
  </si>
  <si>
    <t>Непрограммные расходы</t>
  </si>
  <si>
    <t>99.9.00.00000</t>
  </si>
  <si>
    <t>Руководитель контрольно-счетной палаты</t>
  </si>
  <si>
    <t>99.9.00.00300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</si>
  <si>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</si>
  <si>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</si>
  <si>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полномочий по формированию, исполнению и контролю за исполнением бюджета поселений</t>
  </si>
  <si>
    <t>99.9.00.64502</t>
  </si>
  <si>
    <t>Закупка товаров, работ и услуг для обеспечения государственных (муниципальных) нужд</t>
  </si>
  <si>
    <t>200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</si>
  <si>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</si>
  <si>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99.9.00.82040</t>
  </si>
  <si>
    <t>СОВЕТ МУНИЦИПАЛЬНОГО РАЙОНА "КНЯЖПОГОСТСКИЙ"</t>
  </si>
  <si>
    <t>921</t>
  </si>
  <si>
    <t>Выполнение других обязательств государства</t>
  </si>
  <si>
    <t>99.9.00.92920</t>
  </si>
  <si>
    <t>АДМИНИСТРАЦИЯ МУНИЦИПАЛЬНОГО РАЙОНА "КНЯЖПОГОСТСКИЙ"</t>
  </si>
  <si>
    <t>923</t>
  </si>
  <si>
    <t>"Развитие экономики в Княжпогостском районе"</t>
  </si>
  <si>
    <t>01.0.00.00000</t>
  </si>
  <si>
    <t>Развитие малого и среднего предпринимательства в Княжпогостском районе</t>
  </si>
  <si>
    <t>01.1.00.00000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</si>
  <si>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</si>
  <si>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01.1.2Б.00000</t>
  </si>
  <si>
    <t>Софинансирование расходных обязательств органов местного самоуправления, возникающих в рамках реализации муниципальных программ (подпрограмм) развития малого и среднего предпринимательства муниципальных образований, не относящихся к монопрофильным муниципальным образованиям</t>
  </si>
  <si>
    <t>01.1.2Б.S2190</t>
  </si>
  <si>
    <t>Иные бюджетные ассигнования</t>
  </si>
  <si>
    <t>800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</si>
  <si>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</si>
  <si>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01.1.2Е.00000</t>
  </si>
  <si>
    <t>Оказание финансовой поддержки субъектам малого и среднего предпринимательства, занимающихся социально-значимыми видами деятельности, в рамках реализации муниципальных программ монопрофильных муниципальных образований</t>
  </si>
  <si>
    <t>01.1.2И.64582</t>
  </si>
  <si>
    <t>Межбюджетные трансферты</t>
  </si>
  <si>
    <t>500</t>
  </si>
  <si>
    <t>Расходы в рамках мероприятий в рамках регионального проекта "Расширение доступа субъектов малого и среднего предпринимательствак финансовым ресурсам, в том числе к льготному финансированию"</t>
  </si>
  <si>
    <t>01.1.I4.S2190</t>
  </si>
  <si>
    <t>Оказание финансовой поддержки субъектам малого и среднего предпринимательства, занимающихся социально-значимыми видами деятельности, в рамках реализации регионального проекта "Акселерация субъектов малого и среднего предпринимательства"</t>
  </si>
  <si>
    <t>01.1.I5.55272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</si>
  <si>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</si>
  <si>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01.3.00.00000</t>
  </si>
  <si>
    <t>Реализация народных проектов в сфере агропромышленного комплекса</t>
  </si>
  <si>
    <t>01.3.1И.00000</t>
  </si>
  <si>
    <t>Реализация народных проектов в сфере АГРОПРОМЫШЛЕННОГО комплекса, прошедших отбор в рамках проекта "Народный бюджет"</t>
  </si>
  <si>
    <t>01.3.1И.S2550</t>
  </si>
  <si>
    <t>«Развитие лесного хозяйства на территории муниципального района «Княжпогостский»</t>
  </si>
  <si>
    <t>01.5.00.00000</t>
  </si>
  <si>
    <t>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</si>
  <si>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01.5.1В.73060</t>
  </si>
  <si>
    <t>Содействие занятости населения муниципального района "Княжпогостский"</t>
  </si>
  <si>
    <t>01.6.00.00000</t>
  </si>
  <si>
    <t>Реализация народных проектов в сфере ЗАНЯТОСТИ НАСЕЛЕНИЯ, прошедших отбор в рамках проекта "Народный бюджет"</t>
  </si>
  <si>
    <t>01.6.1В.S2540</t>
  </si>
  <si>
    <t>Муниципальная программа "Развитие дорожной и транспортной системы в Княжпогостском районе"</t>
  </si>
  <si>
    <t>02.0.00.00000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</si>
  <si>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</si>
  <si>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02.1.00.00000</t>
  </si>
  <si>
    <t>Содержание автомобильных дорог общего пользования местного значения</t>
  </si>
  <si>
    <t>02.1.1A.00000</t>
  </si>
  <si>
    <t>Содержание автомобильных дорог общего пользования местного значения (латынь)</t>
  </si>
  <si>
    <t>02.1.1A.64503</t>
  </si>
  <si>
    <t>02.1.1А.S2220</t>
  </si>
  <si>
    <t>Капитальный ремонт и ремонт автомобильных дорого общего пользования местного значения</t>
  </si>
  <si>
    <t>02.1.1Б.00000</t>
  </si>
  <si>
    <t>Оборудование и содержание ледовых переправ</t>
  </si>
  <si>
    <t>02.1.1В.S2210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</si>
  <si>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</si>
  <si>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02.1.1Г.64504</t>
  </si>
  <si>
    <t>Осуществление полномочий в области создания условий для предоставления транспортных услуг населению и организации транспортного обслуживания населения между поселениями</t>
  </si>
  <si>
    <t>02.1.1Н.64514</t>
  </si>
  <si>
    <t>Организация внутримуниципальных перевозок</t>
  </si>
  <si>
    <t>02.1.1П.00000</t>
  </si>
  <si>
    <t>Организация транспортного обслуживания населения между поселениями</t>
  </si>
  <si>
    <t>02.1.1Р.64514</t>
  </si>
  <si>
    <t>Организация транспортного обслуживания на городских маршрутах</t>
  </si>
  <si>
    <t>02.1.1С.64577</t>
  </si>
  <si>
    <t>Развитие транспортной системы</t>
  </si>
  <si>
    <t>02.2.00.00000</t>
  </si>
  <si>
    <t>Разработка комплексных схем организации дорожного движения</t>
  </si>
  <si>
    <t>02.2.2А.64578</t>
  </si>
  <si>
    <t>Муниципальная программа "Развитие жилищного строительства и жилищно-коммунального хозяйства в Княжпогостском районе"</t>
  </si>
  <si>
    <t>03.0.00.00000</t>
  </si>
  <si>
    <t>Подпрограмма "Создание условий для обеспечения населения доступным и комфортным жильем"</t>
  </si>
  <si>
    <t>03.1.00.00000</t>
  </si>
  <si>
    <t>Обеспечение жильем отдельных категорий граждан установленных федеральными законами от 12 января 1995 года № 5-ФЗ "О ветеранах"</t>
  </si>
  <si>
    <t>03.1.1Д.51350</t>
  </si>
  <si>
    <t>Социальное обеспечение и иные выплаты населению</t>
  </si>
  <si>
    <t>300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</si>
  <si>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</si>
  <si>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03.1.1Д.51760</t>
  </si>
  <si>
    <t>Снос аварийных домов</t>
  </si>
  <si>
    <t>03.1.1М.00000</t>
  </si>
  <si>
    <t>03.1.1М.64571</t>
  </si>
  <si>
    <t>Подпрограмма "Обеспечение населения качественными жилищно-коммунальными услугами"</t>
  </si>
  <si>
    <t>03.2.00.00000</t>
  </si>
  <si>
    <t>Приведение в нормативное состояние канализационных и инженерных сетей</t>
  </si>
  <si>
    <t>03.2.2Д.00000</t>
  </si>
  <si>
    <t>Проведение ремонтных работ по канализационным и инженерным сетям</t>
  </si>
  <si>
    <t>03.2.2Д.64572</t>
  </si>
  <si>
    <t>Реализация народных проектов в сфере БЛАГОУСТРОЙСТВА, прошедших отбор в рамках проекта "Народный проект"</t>
  </si>
  <si>
    <t>03.2.2Е.S2480</t>
  </si>
  <si>
    <t>Модернизация и ремонт коммунальных систем инженерной инфраструктуры и другого имущества</t>
  </si>
  <si>
    <t>03.2.2Ж.00000</t>
  </si>
  <si>
    <t>03.2.2Ж.64572</t>
  </si>
  <si>
    <t>Разработка и утверждение схем водоснабжения, водоотведения</t>
  </si>
  <si>
    <t>03.2.2И.00000</t>
  </si>
  <si>
    <t>Муниципальная программа "Развитие муниципального управления в муниципальном районе "Княжпогостский"</t>
  </si>
  <si>
    <t>07.0.00.00000</t>
  </si>
  <si>
    <t>Подпрограмма - Развитие системы открытого муниципалитета в ОМС</t>
  </si>
  <si>
    <t>07.1.00.00000</t>
  </si>
  <si>
    <t>Введение новых рубрик, вкладок, баннеров</t>
  </si>
  <si>
    <t>07.1.1А.00000</t>
  </si>
  <si>
    <t>Организация размещений информационных материалов</t>
  </si>
  <si>
    <t>07.1.1Б.00000</t>
  </si>
  <si>
    <t>Подпрограмма - Оптимизация деятельности органов местного самоуправления МР</t>
  </si>
  <si>
    <t>07.2.00.00000</t>
  </si>
  <si>
    <t>Обеспечение организационных, разъяснительных правовых и иных мер</t>
  </si>
  <si>
    <t>07.2.2А.00000</t>
  </si>
  <si>
    <t>Подпрограмма - Развитие кадрового потенциала системы муниципального управления</t>
  </si>
  <si>
    <t>07.3.00.00000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</si>
  <si>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</si>
  <si>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07.3.3А.00000</t>
  </si>
  <si>
    <t>Обеспечение реализации муниципальной программы</t>
  </si>
  <si>
    <t>07.7.00.00000</t>
  </si>
  <si>
    <t>Руководство и управление в сфере установленных функций органов местного самоуправления</t>
  </si>
  <si>
    <t>07.7.7А.00000</t>
  </si>
  <si>
    <t>Программа "Безопасность жизнедеятельности и социальная защита населения в Княжпогостском районе"</t>
  </si>
  <si>
    <t>08.0.00.00000</t>
  </si>
  <si>
    <t>Подпрограмма "Безопасность населения"</t>
  </si>
  <si>
    <t>08.3.00.00000</t>
  </si>
  <si>
    <t>Осуществление переданных государственных полномочий Республики Коми по отлову и содержанию безнадзорных животных (средства РБ)</t>
  </si>
  <si>
    <t>08.3.3Б.73120</t>
  </si>
  <si>
    <t>Антитеррористическая пропаганда</t>
  </si>
  <si>
    <t>08.3.3Г.00000</t>
  </si>
  <si>
    <t>Подпрограмма "Обращение с отходами производства"</t>
  </si>
  <si>
    <t>08.4.00.00000</t>
  </si>
  <si>
    <t>Мероприятия по организации деятельности по сбору и транспортированию твердых коммунальных отходов</t>
  </si>
  <si>
    <t>08.4.1Б.00000</t>
  </si>
  <si>
    <t>Обустройство контейнерных площадок для накопления ТКО</t>
  </si>
  <si>
    <t>08.4.1Б.64579</t>
  </si>
  <si>
    <t>Обустройство контейнерных площадок для накопления ТКО в соответствии с заключенными соглашениями</t>
  </si>
  <si>
    <t>08.4.1Б.64581</t>
  </si>
  <si>
    <t>Профилактика преступлений и правонарушений</t>
  </si>
  <si>
    <t>08.5.00.00000</t>
  </si>
  <si>
    <t>Организация охраны общественного порядка добровольными народными дружинами</t>
  </si>
  <si>
    <t>08.5.1А.64584</t>
  </si>
  <si>
    <t>Проведение профилактических мероприятий правоохранительной направленности</t>
  </si>
  <si>
    <t>08.5.1Б.64583</t>
  </si>
  <si>
    <t>Муниципальная программа "Доступная среда"</t>
  </si>
  <si>
    <t>09.0.00.00000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</si>
  <si>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</si>
  <si>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09.1.00.00000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</si>
  <si>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</si>
  <si>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09.1.1А.00000</t>
  </si>
  <si>
    <t>Проведение мероприятий социальной направленности</t>
  </si>
  <si>
    <t>09.1.1Б.00000</t>
  </si>
  <si>
    <t>Мероприятия по поддержке районных общественных организаций ветеранов и инвалидов</t>
  </si>
  <si>
    <t>09.1.1В.00000</t>
  </si>
  <si>
    <t>Предоставление субсидий бюджетным, автономным учреждениям и иным некоммерческим организациям</t>
  </si>
  <si>
    <t>600</t>
  </si>
  <si>
    <t>Оформление ветеранам подписки на периодические печатные издания</t>
  </si>
  <si>
    <t>09.1.1Г.00000</t>
  </si>
  <si>
    <t>Расходы в целях обеспечения выполнения функций органов местного самоуправления (руководитель администрации)</t>
  </si>
  <si>
    <t>99.9.00.00200</t>
  </si>
  <si>
    <t>Расходы на подготовку и проведение выборов</t>
  </si>
  <si>
    <t>99.9.00.00410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</si>
  <si>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</si>
  <si>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99.9.00.51200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</si>
  <si>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</si>
  <si>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99.9.00.73040</t>
  </si>
  <si>
    <t>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</si>
  <si>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99.9.00.73070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</si>
  <si>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</si>
  <si>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99.9.00.73080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</si>
  <si>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</si>
  <si>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99.9.00.73150</t>
  </si>
  <si>
    <t>Резервный фонд по предупреждению и ликвидации чрезвычайных ситуаций и последствий стихийных бедствий</t>
  </si>
  <si>
    <t>99.9.00.92710</t>
  </si>
  <si>
    <t>ОТДЕЛ КУЛЬТУРЫ И СПОРТА АДМИНИСТРАЦИИ МУНИЦИПАЛЬНОГО РАЙОНА "КНЯЖПОГОСТСКИЙ"</t>
  </si>
  <si>
    <t>956</t>
  </si>
  <si>
    <t>«Развитие въездного и внутреннего туризма на территории муниципального района «Княжпогостский»</t>
  </si>
  <si>
    <t>01.2.00.00000</t>
  </si>
  <si>
    <t>Рекламно-информационное обеспечение продвижения туристического продукта на внутреннем и внешнем рынках</t>
  </si>
  <si>
    <t>01.2.3Г.00000</t>
  </si>
  <si>
    <t>Муниципальная программа "Развитие отрасли "Культура в Княжпогостском районе"</t>
  </si>
  <si>
    <t>05.0.00.00000</t>
  </si>
  <si>
    <t>Подпрограмма "Развитие учреждений культуры дополнительного образования"</t>
  </si>
  <si>
    <t>05.1.00.00000</t>
  </si>
  <si>
    <t>Выполнение муниципального задания (ДШИ)</t>
  </si>
  <si>
    <t>05.1.1В.00000</t>
  </si>
  <si>
    <t>Обеспечение роста уровня оплаты труда педагогических работников муниципальных организаций дополнительного образования</t>
  </si>
  <si>
    <t>05.1.1В.S2700</t>
  </si>
  <si>
    <t>Подпрограмма "Развитие библиотечного дела"</t>
  </si>
  <si>
    <t>05.2.00.00000</t>
  </si>
  <si>
    <t>Субсидия на поддержку отрасли культуры</t>
  </si>
  <si>
    <t>05.2.2А.L5190</t>
  </si>
  <si>
    <t>Подписка на периодические издания</t>
  </si>
  <si>
    <t>05.2.2Б.00000</t>
  </si>
  <si>
    <t>Функционирование информационно-маркетингового центра малого и среднего предпринимательства</t>
  </si>
  <si>
    <t>05.2.2В.00000</t>
  </si>
  <si>
    <t>Выполнение муниципального задания</t>
  </si>
  <si>
    <t>05.2.2Д.00000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</si>
  <si>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</si>
  <si>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05.2.2Д.S2690</t>
  </si>
  <si>
    <t>Мероприятия по организации деятельности по сбору и транспортированию твёрдых коммунальных отходов</t>
  </si>
  <si>
    <t>05.2.2Д.S2850</t>
  </si>
  <si>
    <t>Подпрограмма "Развитие музейного дела"</t>
  </si>
  <si>
    <t>05.3.00.00000</t>
  </si>
  <si>
    <t>05.3.3Б.00000</t>
  </si>
  <si>
    <t>05.3.3Б.S2690</t>
  </si>
  <si>
    <t>05.3.3Б.S2850</t>
  </si>
  <si>
    <t>Подпрограмма "Развитие народного, художественного творчества и культурно-досуговой деятельности"</t>
  </si>
  <si>
    <t>05.4.00.00000</t>
  </si>
  <si>
    <t>05.4.4A.S2850</t>
  </si>
  <si>
    <t>Выполнение муниципального задания (учреждения культуры)</t>
  </si>
  <si>
    <t>05.4.4А.00000</t>
  </si>
  <si>
    <t>05.4.4А.S2690</t>
  </si>
  <si>
    <t>Проведение культурно-досуговых мероприятий</t>
  </si>
  <si>
    <t>05.4.4Б.00000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</si>
  <si>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</t>
  </si>
  <si>
    <t>05.4.4В.L4670</t>
  </si>
  <si>
    <t>Приобретение специального оборудования, укрепление МТБ</t>
  </si>
  <si>
    <t>05.4.4В.00000</t>
  </si>
  <si>
    <t>Субсидии на укрепление материально-технической базы муниципальных учреждений сферы культуры</t>
  </si>
  <si>
    <t>05.4.4В.S2150</t>
  </si>
  <si>
    <t>Субсидии на реализацию народных проектов в сфере КУЛЬТУРЫ, прошедших отбор в рамках проекта "Народный бюджет"</t>
  </si>
  <si>
    <t>05.4.4Л.S2460</t>
  </si>
  <si>
    <t>Строительство объектов культуры</t>
  </si>
  <si>
    <t>05.4.4М.00000</t>
  </si>
  <si>
    <t>Подпрограмма "Обеспечение условий для реализации программы"</t>
  </si>
  <si>
    <t>05.5.00.00000</t>
  </si>
  <si>
    <t>Расходы в целях обеспечения выполнения функций ОМС</t>
  </si>
  <si>
    <t>05.5.5А.00000</t>
  </si>
  <si>
    <t>Подпрограмма "Хозяйственно-техническое обеспечение учреждений"</t>
  </si>
  <si>
    <t>05.6.00.00000</t>
  </si>
  <si>
    <t>Выполнение муниципального задания (ЦХТО)</t>
  </si>
  <si>
    <t>05.6.6А.00000</t>
  </si>
  <si>
    <t>05.6.6А.S2690</t>
  </si>
  <si>
    <t>Развитие и сохранение национальных культур</t>
  </si>
  <si>
    <t>05.8.00.00000</t>
  </si>
  <si>
    <t>Выполнение муниципального задания (КЦНК)</t>
  </si>
  <si>
    <t>05.8.8А.00000</t>
  </si>
  <si>
    <t>05.8.8А.S2690</t>
  </si>
  <si>
    <t>Укрепление материально-технической базы муниципальных учреждений сферы культуры.</t>
  </si>
  <si>
    <t>05.8.8В.L4670</t>
  </si>
  <si>
    <t>Субсидия на укрепление материально-технической базы (ЦНК)</t>
  </si>
  <si>
    <t>05.8.8В.S2150</t>
  </si>
  <si>
    <t>Муниципальная программа "Развитие отрасли "Физическая культура и спорт" в "Княжпогостском районе"</t>
  </si>
  <si>
    <t>06.0.00.00000</t>
  </si>
  <si>
    <t>Подпрограмма "Массовая физическая культура"</t>
  </si>
  <si>
    <t>06.2.00.00000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</si>
  <si>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</si>
  <si>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06.2.2Г.00000</t>
  </si>
  <si>
    <t>Подпрограмма "Спорт высоких достижений"</t>
  </si>
  <si>
    <t>06.3.00.00000</t>
  </si>
  <si>
    <t>Участие в спортивных мероприятиях республиканского, межрегионального и всероссийского уровня</t>
  </si>
  <si>
    <t>06.3.3Б.00000</t>
  </si>
  <si>
    <t>Развитие учреждений физической культуры и спорта</t>
  </si>
  <si>
    <t>06.4.00.00000</t>
  </si>
  <si>
    <t>06.4.4A.S2850</t>
  </si>
  <si>
    <t>Выполнение муниципального задания (ДЮСШ)</t>
  </si>
  <si>
    <t>06.4.4А.00000</t>
  </si>
  <si>
    <t>06.4.4А.S2700</t>
  </si>
  <si>
    <t>08.4.1Б.S2850</t>
  </si>
  <si>
    <t>УПРАВЛЕНИЕ МУНИЦИПАЛЬНЫМ ИМУЩЕСТВОМ, ЗЕМЛЯМИ И ПРИРОДНЫМИ РЕСУРСАМИ АДМИНИСТРАЦИИ МР "КНЯЖПОГОСТСКИЙ"</t>
  </si>
  <si>
    <t>963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</si>
  <si>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</si>
  <si>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03.1.1В.00000</t>
  </si>
  <si>
    <t>Предоставление земельных участков отдельным категориям граждан</t>
  </si>
  <si>
    <t>03.1.1Г.00000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</si>
  <si>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</si>
  <si>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03.1.1Е.00000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</si>
  <si>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</si>
  <si>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03.1.1Е.73030</t>
  </si>
  <si>
    <t>Капитальные вложения в объекты государственной (муниципальной) собственности</t>
  </si>
  <si>
    <t>400</t>
  </si>
  <si>
    <t>03.1.1Е.R0820</t>
  </si>
  <si>
    <t>Приобретение, строительство муниципального жилищного фонда</t>
  </si>
  <si>
    <t>03.1.1Н.00000</t>
  </si>
  <si>
    <t>Обеспечение мероприятий по расселению непригодного для проживания жилищного фонда</t>
  </si>
  <si>
    <t>03.1.F3.09502</t>
  </si>
  <si>
    <t>03.1.F3.09602</t>
  </si>
  <si>
    <t>03.1.F3.S9602</t>
  </si>
  <si>
    <t>Оплата коммунальных услуг по муниципальному жилищному фонду</t>
  </si>
  <si>
    <t>03.2.2В.00000</t>
  </si>
  <si>
    <t>Содержание объектов муниципальной собственности</t>
  </si>
  <si>
    <t>03.2.2К.00000</t>
  </si>
  <si>
    <t>Управление муниципальным имуществом муниципального района "Княжпогостский"</t>
  </si>
  <si>
    <t>07.4.00.00000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</si>
  <si>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</si>
  <si>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07.4.1Б.S2840</t>
  </si>
  <si>
    <t>Руководство и управление в сфере реализации подпрограммы</t>
  </si>
  <si>
    <t>07.4.4Д.00000</t>
  </si>
  <si>
    <t>УПРАВЛЕНИЕ ОБРАЗОВАНИЯ АДМИНИСТРАЦИИ МУНИЦИПАЛЬНОГО РАЙОНА "КНЯЖПОГОСТСКИЙ"</t>
  </si>
  <si>
    <t>975</t>
  </si>
  <si>
    <t>Муниципальная программа "Развитие образования в Княжпогостском районе"</t>
  </si>
  <si>
    <t>04.0.00.00000</t>
  </si>
  <si>
    <t>Подпрограмма "Развитие системы дошкольного образования в Княжпогостском районе"</t>
  </si>
  <si>
    <t>04.1.00.00000</t>
  </si>
  <si>
    <t>04.1.1A.S2850</t>
  </si>
  <si>
    <t>Выполнение планового объема оказываемых муниципальных услуг, установленного муниципальным заданием</t>
  </si>
  <si>
    <t>04.1.1А.00000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</si>
  <si>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</si>
  <si>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04.1.1А.73010</t>
  </si>
  <si>
    <t>Обеспечение роста уровня оплаты труда педагогических работников муниципальных организаций образования</t>
  </si>
  <si>
    <t>04.1.1А.S2700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</si>
  <si>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</si>
  <si>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04.1.1В.00000</t>
  </si>
  <si>
    <t>04.1.1В.73020</t>
  </si>
  <si>
    <t>Проведение текущих ремонтов в дошкольных образовательных организациях</t>
  </si>
  <si>
    <t>04.1.1Д.00000</t>
  </si>
  <si>
    <t>Выполнение противопожарных мероприятий в дошкольных образовательных организациях</t>
  </si>
  <si>
    <t>04.1.1Е.00000</t>
  </si>
  <si>
    <t>Предоставление доступа к сети Интернет</t>
  </si>
  <si>
    <t>04.1.1М.00000</t>
  </si>
  <si>
    <t>Подпрограмма "Развитие системы общего образования в Княжпогостском районе"</t>
  </si>
  <si>
    <t>04.2.00.00000</t>
  </si>
  <si>
    <t>04.2.2A.S2850</t>
  </si>
  <si>
    <t>Оказание муниципальных услуг (выполнение работ) общеобразовательными учреждениями</t>
  </si>
  <si>
    <t>04.2.2А.00000</t>
  </si>
  <si>
    <t>04.2.2А.73010</t>
  </si>
  <si>
    <t>04.2.2А.S2700</t>
  </si>
  <si>
    <t>04.2.2Б.00000</t>
  </si>
  <si>
    <t>04.2.2Б.73020</t>
  </si>
  <si>
    <t>04.2.2В.00000</t>
  </si>
  <si>
    <t>Укрепление материально-технической базы</t>
  </si>
  <si>
    <t>04.2.2Г.00000</t>
  </si>
  <si>
    <t>Выполнение противопожарных мероприятий в общеобразовательных организациях</t>
  </si>
  <si>
    <t>04.2.2Е.00000</t>
  </si>
  <si>
    <t>Проведение текущих ремонтов в общеобразовательных организациях</t>
  </si>
  <si>
    <t>04.2.2Ж.00000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</si>
  <si>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</si>
  <si>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04.2.2Р.S2000</t>
  </si>
  <si>
    <t>Субсидии на открытие дополнительных классов</t>
  </si>
  <si>
    <t>04.2.2У.00000</t>
  </si>
  <si>
    <t>Подпрограмма "Дети и молодежь Княжпогостского района"</t>
  </si>
  <si>
    <t>04.3.00.00000</t>
  </si>
  <si>
    <t>Содействие трудоустройству и временной занятости молодежи</t>
  </si>
  <si>
    <t>04.3.3Д.00000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</si>
  <si>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</si>
  <si>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04.3.3К.L4970</t>
  </si>
  <si>
    <t>04.3.3Л.00000</t>
  </si>
  <si>
    <t>04.3.3Л.S2700</t>
  </si>
  <si>
    <t>04.3.3Л.S2850</t>
  </si>
  <si>
    <t>Субсидии на реализацию народных проектов в сфере ОБРАЗОВАНИЯ, прошедших отбор в рамках проекта "Народный бюджет"</t>
  </si>
  <si>
    <t>04.3.3С.S2020</t>
  </si>
  <si>
    <t>Подпрограмма "Организация оздоровления и отдыха детей Княжпогостского района"</t>
  </si>
  <si>
    <t>04.4.00.00000</t>
  </si>
  <si>
    <t>Обеспечение деятельности лагерей с дневным пребыванием</t>
  </si>
  <si>
    <t>04.4.4А.00000</t>
  </si>
  <si>
    <t>Мероприятия по проведению оздоровительной кампании детей</t>
  </si>
  <si>
    <t>04.4.4А.S2040</t>
  </si>
  <si>
    <t>Организация оздоровления и отдыха детей на базе выездных оздоровительных лагерей</t>
  </si>
  <si>
    <t>04.4.4Б.00000</t>
  </si>
  <si>
    <t>Подпрограмма "Обеспечение условий для реализации муниципальной программы"</t>
  </si>
  <si>
    <t>04.6.00.00000</t>
  </si>
  <si>
    <t>Расходы в целях обеспечения выполнения функций органа местного самоуправления</t>
  </si>
  <si>
    <t>04.6.6А.00000</t>
  </si>
  <si>
    <t>Подпрограмма "Социальная защита населения"</t>
  </si>
  <si>
    <t>08.1.00.00000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</si>
  <si>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</si>
  <si>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08.1.1Б.73190</t>
  </si>
  <si>
    <t>Подпрограмма "Безопасность дорожного движения"</t>
  </si>
  <si>
    <t>08.2.00.00000</t>
  </si>
  <si>
    <t>Обеспечение безопасного участия детей в дорожном движении</t>
  </si>
  <si>
    <t>08.2.2В.00000</t>
  </si>
  <si>
    <t>Укрепление материально-технической базы и создание безопасных условий в организациях в сфере образования в Республике Коми.</t>
  </si>
  <si>
    <t>08.3.3Ж.S2010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</si>
  <si>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</si>
  <si>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99.9.00.73050</t>
  </si>
  <si>
    <t>ФИНАНСОВОЕ УПРАВЛЕНИЕ АДМИНИСТРАЦИИ МУНИЦИПАЛЬНОГО РАЙОНА "КНЯЖПОГОСТСКИЙ"</t>
  </si>
  <si>
    <t>992</t>
  </si>
  <si>
    <t>Подпрограмма "Управление муниципальнымы финансами"</t>
  </si>
  <si>
    <t>07.5.00.00000</t>
  </si>
  <si>
    <t>Выравнивание бюджетной обеспеченности муниципальных районов и поселений из регионального фонда финансовой поддержки</t>
  </si>
  <si>
    <t>07.5.5А.00000</t>
  </si>
  <si>
    <t>07.5.5А.73110</t>
  </si>
  <si>
    <t>Сбалансированность бюджетов поселений</t>
  </si>
  <si>
    <t>07.5.5Д.00000</t>
  </si>
  <si>
    <t>Руководство и управление в сфере финансов</t>
  </si>
  <si>
    <t>07.5.5Е.00000</t>
  </si>
  <si>
    <t>07.5.5Е.64502</t>
  </si>
  <si>
    <t>Выравнивание бюджетной обеспеченности поселений из районного фонда финансовой поддержки</t>
  </si>
  <si>
    <t>07.5.5Ж.00000</t>
  </si>
  <si>
    <t>Субвенции на осуществление первичного воинского учета на территориях, где отсутствуют военные комиссариаты</t>
  </si>
  <si>
    <t>99.9.00.51180</t>
  </si>
  <si>
    <t>Осуществление полномочий Российской Федерации по государственной регистрации актов гражданского состояния</t>
  </si>
  <si>
    <t>99.9.00.59300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</si>
  <si>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</si>
  <si>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99.9.00.73090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</si>
  <si>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</si>
  <si>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99.9.00.73100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</si>
  <si>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</si>
  <si>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99.9.00.73160</t>
  </si>
  <si>
    <t>Приложение № 5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</si>
  <si>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2019 год </t>
  </si>
  <si>
    <t>Наименование КЦСР</t>
  </si>
  <si>
    <t>КЦСР</t>
  </si>
  <si>
    <t>КВР</t>
  </si>
  <si>
    <t>Ассигнования 2019 год</t>
  </si>
  <si>
    <t>2</t>
  </si>
  <si>
    <t>4</t>
  </si>
  <si>
    <t>Итого</t>
  </si>
  <si>
    <t>Реализация народных проектов в сфере занятости населения</t>
  </si>
  <si>
    <t>01.6.1В.00000</t>
  </si>
  <si>
    <t>Содержание автомобильных дорог общего пользования местного значения"</t>
  </si>
  <si>
    <t>02.1.1А.00000</t>
  </si>
  <si>
    <t>02.1.1В.00000</t>
  </si>
  <si>
    <t>02.1.1Г.00000</t>
  </si>
  <si>
    <t>03.1.F3.67483</t>
  </si>
  <si>
    <t>03.1.F3.67484</t>
  </si>
  <si>
    <t>03.1.F3.6748S</t>
  </si>
  <si>
    <t>Реализация народых проектов в сфере благоустройства</t>
  </si>
  <si>
    <t>03.2.2Е.00000</t>
  </si>
  <si>
    <t>04.1.1А. S2700</t>
  </si>
  <si>
    <t>04.2.2А .S2700</t>
  </si>
  <si>
    <t>04.2.2Р.00000</t>
  </si>
  <si>
    <t>Обеспечение жильем молодых семей на территории МР "Княжпогостский"</t>
  </si>
  <si>
    <t>04.3.3К.00000</t>
  </si>
  <si>
    <t>Реализация народных проектов в сфере образования</t>
  </si>
  <si>
    <t>04.3.3С.00000</t>
  </si>
  <si>
    <t>Комплектование книжных и документных фондов</t>
  </si>
  <si>
    <t>05.2.2А.00000</t>
  </si>
  <si>
    <t>Реализация народного проекта в сфере культуры</t>
  </si>
  <si>
    <t>05.4.4Л.00000</t>
  </si>
  <si>
    <t>05.8.8В.00000</t>
  </si>
  <si>
    <t>Укрепление материально-технической базы муниципальных учреждений сферы культуры</t>
  </si>
  <si>
    <t>Субвенция по отлову и содержанию безнадзорных животных</t>
  </si>
  <si>
    <t>08.3.3Б.00000</t>
  </si>
  <si>
    <t xml:space="preserve">к проекту решения Совета </t>
  </si>
  <si>
    <t xml:space="preserve"> муниципального района  "Княжпогостский" </t>
  </si>
  <si>
    <t>Приложение №7</t>
  </si>
  <si>
    <t>от 24  декабря 2018г. №302</t>
  </si>
  <si>
    <t xml:space="preserve">Источники  финансирования дефицита </t>
  </si>
  <si>
    <t>бюджета муниципального района "Княжпогостский" на 2019 год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</si>
  <si>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</si>
  <si>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</si>
  <si>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</si>
  <si>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</si>
  <si>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</si>
  <si>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</si>
  <si>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>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</si>
  <si>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</si>
  <si>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</si>
  <si>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</si>
  <si>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</si>
  <si>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</si>
  <si>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</si>
  <si>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</si>
  <si>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</si>
  <si>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</si>
  <si>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</si>
  <si>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</si>
  <si>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</si>
  <si>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</si>
  <si>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</si>
  <si>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к решению Совета</t>
  </si>
  <si>
    <t>Приложение № 13</t>
  </si>
  <si>
    <t xml:space="preserve">                                                                              от 24 декабря 2018г. № 302</t>
  </si>
  <si>
    <t>Таблица 2</t>
  </si>
  <si>
    <t xml:space="preserve"> Распределение дотаций</t>
  </si>
  <si>
    <t>на поддержку мер по обеспечению сбалансированности бюджетов поселений на 2019 год</t>
  </si>
  <si>
    <t>Наименование поселений</t>
  </si>
  <si>
    <t>Всего сумма, тыс.рублей</t>
  </si>
  <si>
    <t>за счет средств республиканского бюджета РК</t>
  </si>
  <si>
    <t>изменения МБ</t>
  </si>
  <si>
    <t>ВСЕГО:</t>
  </si>
  <si>
    <t>Городское поселение "Емва"</t>
  </si>
  <si>
    <t>Городское поселение "Синдор"</t>
  </si>
  <si>
    <t>Сельское поселение "Иоссер"</t>
  </si>
  <si>
    <t>Сельское поселение "Мещура"</t>
  </si>
  <si>
    <t>Сельское поселение "Серёгово"</t>
  </si>
  <si>
    <t>Сельское поселение "Тракт"</t>
  </si>
  <si>
    <t>Сельское поселение "Туръя"</t>
  </si>
  <si>
    <t>Сельское поселение "Чиньяворык"</t>
  </si>
  <si>
    <t>Сельское поселение "Шошка"</t>
  </si>
  <si>
    <t>Таблица 15</t>
  </si>
  <si>
    <t xml:space="preserve"> Распределение межбюджетных трансфертов</t>
  </si>
  <si>
    <t>бюджетам поселений на приведение в нормативное состояние канализационных и инжинерных сетей в рамках МП "Развитие жилищного строительства и жилищно-коммунального хозяйства в Княжпогостском районе" на 2019 год</t>
  </si>
  <si>
    <t>Таблица 18</t>
  </si>
  <si>
    <t>бюджетам поселений на приведение на снос аварийных домов в рамках МП "Развитие жилищного строительства и жилищно-коммунального хозяйства в Княжпогостском районе" на 2019 год</t>
  </si>
  <si>
    <t>Таблица 20</t>
  </si>
  <si>
    <t>бюджетам поселений по МП "Безопасность жизнедеятельности и социальная защита населения в Княжпогостском районе" на 2019 год</t>
  </si>
  <si>
    <t>Организация охраны общественного порядка ДНД</t>
  </si>
  <si>
    <t xml:space="preserve">                                                                 </t>
  </si>
  <si>
    <t xml:space="preserve">             от 24 декабря 2018г. № 302</t>
  </si>
  <si>
    <t>Таблица 19</t>
  </si>
  <si>
    <t>бюджетам поселений на мероприятия по организации деятельности по сбору и транспортированию твердых коммунальных отходов по МП "Безопасность жизнедеятельности и социальная защита населения в Княжпогостском районе" на 2019 год</t>
  </si>
  <si>
    <t>За счет средств республиканского бюджета Республики Коми</t>
  </si>
  <si>
    <t>за счет средств бюджета МР "Княжпогостский"</t>
  </si>
  <si>
    <t>Сельское  поселение "Иоссер"</t>
  </si>
  <si>
    <t>Сельское  поселение "Тракт"</t>
  </si>
  <si>
    <t>Сельское  поселение "Серегово"</t>
  </si>
  <si>
    <t>Сельское  поселение "Шошка"</t>
  </si>
  <si>
    <t>Таблица 7</t>
  </si>
  <si>
    <t>бюджетам поселений на содержание автомобильных дорог общего пользования местного значения в рамках МП "Развитие дорожной и транспортной системы в Княжпогостском районе" на 2019 год</t>
  </si>
  <si>
    <t>Таблица 12</t>
  </si>
  <si>
    <t>бюджетам поселений на софинансирование расходных обязательств, возникающих в рамках реализации муниципальных программ (подпрограмм) развития малого и среднего предпринимательства в монопрофильных муниципальных образованиях по МП "Развитие экономики в Княжпогостском районе" на 2019 год</t>
  </si>
  <si>
    <t>Таблица 13</t>
  </si>
  <si>
    <t>бюджетам поселений на организацию транспортного обслуживания населения между поселениями на 2019 год</t>
  </si>
  <si>
    <t>Таблица 16</t>
  </si>
  <si>
    <t>бюджетам поселений на модернизацию и ремонт коммунальных системинжинерной инфраструктуры и другого имущества в рамках МП "Развитие жилищного строительства и жилищно-коммунального хозяйства в Княжпогостском районе" на 2019 год</t>
  </si>
  <si>
    <t>Таблица 17</t>
  </si>
  <si>
    <t>бюджетам поселений на разработку комплексных схем организации дорожного движения в рамках МП "Развитие дорожной и транспортной системы в Княжпогостском районе" на 2019 год</t>
  </si>
  <si>
    <t>от 18 декабря 2019 г. № 51</t>
  </si>
  <si>
    <t>Приложение № 4</t>
  </si>
  <si>
    <t>Приложение № 6</t>
  </si>
  <si>
    <t>от 24 декабря 2018г. № 302</t>
  </si>
  <si>
    <t>Приложение № 9</t>
  </si>
  <si>
    <t>Приложение № 7</t>
  </si>
  <si>
    <t>Приложение № 8</t>
  </si>
  <si>
    <t>Приложение № 10</t>
  </si>
  <si>
    <t>Приложение № 11</t>
  </si>
  <si>
    <t>Приложение № 12</t>
  </si>
  <si>
    <t>Приложение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</si>
</sst>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?"/>
    <numFmt numFmtId="165" formatCode="#,##0.000"/>
    <numFmt numFmtId="166" formatCode="#,##0.0"/>
    <numFmt numFmtId="167" formatCode="0.000"/>
  </numFmts>
  <fonts count="2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color rgb="FF000000"/>
      <name val="Times New Roman"/>
    </font>
    <font>
      <sz val="11"/>
      <color rgb="FF000000"/>
      <name val="Calibri"/>
      <family val="2"/>
    </font>
    <font>
      <sz val="14"/>
      <color rgb="FF000000"/>
      <name val="Times New Roman CY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Calibri"/>
      <family val="2"/>
      <scheme val="minor"/>
    </font>
    <font>
      <sz val="10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8" fillId="0" borderId="0"/>
  </cellStyleXfs>
  <cellXfs count="170">
    <xf numFmtId="0" fontId="0" fillId="0" borderId="0" xfId="0"/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Font="1"/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5" fillId="0" borderId="0" xfId="0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justify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justify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/>
    <xf numFmtId="49" fontId="1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165" fontId="8" fillId="2" borderId="1" xfId="0" applyNumberFormat="1" applyFont="1" applyFill="1" applyBorder="1" applyAlignment="1" applyProtection="1">
      <alignment horizontal="right"/>
    </xf>
    <xf numFmtId="49" fontId="8" fillId="3" borderId="1" xfId="0" applyNumberFormat="1" applyFont="1" applyFill="1" applyBorder="1" applyAlignment="1" applyProtection="1">
      <alignment horizontal="left" wrapText="1"/>
    </xf>
    <xf numFmtId="49" fontId="8" fillId="3" borderId="1" xfId="0" applyNumberFormat="1" applyFont="1" applyFill="1" applyBorder="1" applyAlignment="1" applyProtection="1">
      <alignment horizontal="center" wrapText="1"/>
    </xf>
    <xf numFmtId="165" fontId="8" fillId="3" borderId="1" xfId="0" applyNumberFormat="1" applyFont="1" applyFill="1" applyBorder="1" applyAlignment="1" applyProtection="1">
      <alignment horizontal="right" wrapText="1"/>
    </xf>
    <xf numFmtId="49" fontId="8" fillId="0" borderId="1" xfId="0" applyNumberFormat="1" applyFont="1" applyFill="1" applyBorder="1" applyAlignment="1" applyProtection="1">
      <alignment horizontal="left" wrapText="1"/>
    </xf>
    <xf numFmtId="49" fontId="8" fillId="0" borderId="1" xfId="0" applyNumberFormat="1" applyFont="1" applyFill="1" applyBorder="1" applyAlignment="1" applyProtection="1">
      <alignment horizontal="center" wrapText="1"/>
    </xf>
    <xf numFmtId="165" fontId="8" fillId="0" borderId="1" xfId="0" applyNumberFormat="1" applyFont="1" applyFill="1" applyBorder="1" applyAlignment="1" applyProtection="1">
      <alignment horizontal="right" wrapText="1"/>
    </xf>
    <xf numFmtId="49" fontId="10" fillId="0" borderId="1" xfId="0" applyNumberFormat="1" applyFont="1" applyFill="1" applyBorder="1" applyAlignment="1" applyProtection="1">
      <alignment horizontal="left" wrapText="1"/>
    </xf>
    <xf numFmtId="49" fontId="10" fillId="0" borderId="1" xfId="0" applyNumberFormat="1" applyFont="1" applyFill="1" applyBorder="1" applyAlignment="1" applyProtection="1">
      <alignment horizontal="center" wrapText="1"/>
    </xf>
    <xf numFmtId="165" fontId="10" fillId="0" borderId="1" xfId="0" applyNumberFormat="1" applyFont="1" applyFill="1" applyBorder="1" applyAlignment="1" applyProtection="1">
      <alignment horizontal="right" wrapText="1"/>
    </xf>
    <xf numFmtId="164" fontId="10" fillId="0" borderId="1" xfId="0" applyNumberFormat="1" applyFont="1" applyFill="1" applyBorder="1" applyAlignment="1" applyProtection="1">
      <alignment horizontal="left" wrapText="1"/>
    </xf>
    <xf numFmtId="164" fontId="10" fillId="0" borderId="1" xfId="0" applyNumberFormat="1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justify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10" fillId="0" borderId="0" xfId="0" applyFont="1"/>
    <xf numFmtId="0" fontId="15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vertical="top"/>
    </xf>
    <xf numFmtId="49" fontId="10" fillId="0" borderId="5" xfId="0" applyNumberFormat="1" applyFont="1" applyBorder="1" applyAlignment="1">
      <alignment vertical="top"/>
    </xf>
    <xf numFmtId="49" fontId="10" fillId="0" borderId="3" xfId="0" applyNumberFormat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vertical="top"/>
    </xf>
    <xf numFmtId="165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165" fontId="10" fillId="0" borderId="1" xfId="0" applyNumberFormat="1" applyFont="1" applyFill="1" applyBorder="1" applyAlignment="1">
      <alignment vertical="top"/>
    </xf>
    <xf numFmtId="0" fontId="1" fillId="0" borderId="0" xfId="0" applyFont="1" applyFill="1"/>
    <xf numFmtId="0" fontId="17" fillId="0" borderId="0" xfId="0" applyFont="1" applyFill="1"/>
    <xf numFmtId="0" fontId="16" fillId="0" borderId="0" xfId="0" applyFont="1" applyFill="1"/>
    <xf numFmtId="0" fontId="1" fillId="0" borderId="0" xfId="0" applyFont="1" applyFill="1" applyAlignment="1">
      <alignment horizontal="right"/>
    </xf>
    <xf numFmtId="166" fontId="1" fillId="0" borderId="6" xfId="0" applyNumberFormat="1" applyFont="1" applyFill="1" applyBorder="1" applyAlignment="1">
      <alignment horizontal="right" wrapText="1"/>
    </xf>
    <xf numFmtId="0" fontId="7" fillId="0" borderId="1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7" xfId="1" applyFont="1" applyFill="1" applyBorder="1" applyAlignment="1">
      <alignment horizontal="left" wrapText="1"/>
    </xf>
    <xf numFmtId="165" fontId="1" fillId="0" borderId="8" xfId="0" applyNumberFormat="1" applyFont="1" applyFill="1" applyBorder="1"/>
    <xf numFmtId="165" fontId="1" fillId="0" borderId="7" xfId="0" applyNumberFormat="1" applyFont="1" applyFill="1" applyBorder="1"/>
    <xf numFmtId="0" fontId="1" fillId="0" borderId="9" xfId="1" applyFont="1" applyFill="1" applyBorder="1" applyAlignment="1">
      <alignment wrapText="1"/>
    </xf>
    <xf numFmtId="165" fontId="1" fillId="0" borderId="10" xfId="0" applyNumberFormat="1" applyFont="1" applyFill="1" applyBorder="1"/>
    <xf numFmtId="165" fontId="7" fillId="0" borderId="10" xfId="0" applyNumberFormat="1" applyFont="1" applyFill="1" applyBorder="1"/>
    <xf numFmtId="165" fontId="7" fillId="0" borderId="9" xfId="0" applyNumberFormat="1" applyFont="1" applyFill="1" applyBorder="1"/>
    <xf numFmtId="0" fontId="1" fillId="0" borderId="11" xfId="1" applyFont="1" applyFill="1" applyBorder="1" applyAlignment="1">
      <alignment wrapText="1"/>
    </xf>
    <xf numFmtId="165" fontId="1" fillId="0" borderId="12" xfId="0" applyNumberFormat="1" applyFont="1" applyFill="1" applyBorder="1"/>
    <xf numFmtId="165" fontId="1" fillId="0" borderId="11" xfId="0" applyNumberFormat="1" applyFont="1" applyFill="1" applyBorder="1"/>
    <xf numFmtId="0" fontId="16" fillId="0" borderId="0" xfId="0" applyFont="1" applyFill="1" applyAlignment="1"/>
    <xf numFmtId="0" fontId="7" fillId="0" borderId="8" xfId="1" applyFont="1" applyFill="1" applyBorder="1" applyAlignment="1">
      <alignment horizontal="left" wrapText="1"/>
    </xf>
    <xf numFmtId="165" fontId="1" fillId="0" borderId="13" xfId="0" applyNumberFormat="1" applyFont="1" applyFill="1" applyBorder="1"/>
    <xf numFmtId="0" fontId="1" fillId="0" borderId="10" xfId="1" applyFont="1" applyFill="1" applyBorder="1" applyAlignment="1">
      <alignment wrapText="1"/>
    </xf>
    <xf numFmtId="165" fontId="1" fillId="0" borderId="14" xfId="0" applyNumberFormat="1" applyFont="1" applyFill="1" applyBorder="1"/>
    <xf numFmtId="165" fontId="7" fillId="0" borderId="14" xfId="0" applyNumberFormat="1" applyFont="1" applyFill="1" applyBorder="1"/>
    <xf numFmtId="0" fontId="1" fillId="0" borderId="12" xfId="1" applyFont="1" applyFill="1" applyBorder="1" applyAlignment="1">
      <alignment wrapText="1"/>
    </xf>
    <xf numFmtId="165" fontId="1" fillId="0" borderId="15" xfId="0" applyNumberFormat="1" applyFont="1" applyFill="1" applyBorder="1"/>
    <xf numFmtId="0" fontId="0" fillId="0" borderId="0" xfId="0" applyFill="1"/>
    <xf numFmtId="0" fontId="7" fillId="0" borderId="2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15" fillId="0" borderId="10" xfId="0" applyFont="1" applyFill="1" applyBorder="1"/>
    <xf numFmtId="0" fontId="15" fillId="0" borderId="14" xfId="0" applyFont="1" applyFill="1" applyBorder="1"/>
    <xf numFmtId="167" fontId="15" fillId="0" borderId="10" xfId="0" applyNumberFormat="1" applyFont="1" applyFill="1" applyBorder="1"/>
    <xf numFmtId="167" fontId="15" fillId="0" borderId="14" xfId="0" applyNumberFormat="1" applyFont="1" applyFill="1" applyBorder="1"/>
    <xf numFmtId="165" fontId="7" fillId="0" borderId="15" xfId="0" applyNumberFormat="1" applyFont="1" applyFill="1" applyBorder="1"/>
    <xf numFmtId="165" fontId="7" fillId="0" borderId="11" xfId="0" applyNumberFormat="1" applyFont="1" applyFill="1" applyBorder="1"/>
    <xf numFmtId="167" fontId="15" fillId="0" borderId="12" xfId="0" applyNumberFormat="1" applyFont="1" applyFill="1" applyBorder="1"/>
    <xf numFmtId="167" fontId="15" fillId="0" borderId="15" xfId="0" applyNumberFormat="1" applyFont="1" applyFill="1" applyBorder="1"/>
    <xf numFmtId="0" fontId="10" fillId="0" borderId="0" xfId="0" applyFont="1" applyFill="1"/>
    <xf numFmtId="0" fontId="15" fillId="0" borderId="0" xfId="0" applyFont="1" applyFill="1"/>
    <xf numFmtId="0" fontId="7" fillId="0" borderId="0" xfId="1" applyNumberFormat="1" applyFont="1" applyFill="1" applyBorder="1" applyAlignment="1">
      <alignment wrapText="1" shrinkToFit="1"/>
    </xf>
    <xf numFmtId="0" fontId="16" fillId="0" borderId="0" xfId="0" applyFont="1" applyFill="1" applyBorder="1"/>
    <xf numFmtId="0" fontId="0" fillId="0" borderId="0" xfId="0" applyFill="1" applyBorder="1"/>
    <xf numFmtId="0" fontId="7" fillId="0" borderId="8" xfId="1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19" fillId="0" borderId="8" xfId="0" applyFont="1" applyFill="1" applyBorder="1" applyAlignment="1">
      <alignment wrapText="1"/>
    </xf>
    <xf numFmtId="0" fontId="7" fillId="0" borderId="2" xfId="1" applyFont="1" applyFill="1" applyBorder="1" applyAlignment="1">
      <alignment horizontal="left" wrapText="1"/>
    </xf>
    <xf numFmtId="165" fontId="1" fillId="0" borderId="1" xfId="0" applyNumberFormat="1" applyFont="1" applyFill="1" applyBorder="1"/>
    <xf numFmtId="165" fontId="7" fillId="0" borderId="0" xfId="0" applyNumberFormat="1" applyFont="1" applyFill="1" applyBorder="1"/>
    <xf numFmtId="0" fontId="15" fillId="0" borderId="0" xfId="0" applyFont="1" applyFill="1" applyBorder="1"/>
    <xf numFmtId="167" fontId="15" fillId="0" borderId="0" xfId="0" applyNumberFormat="1" applyFont="1" applyFill="1" applyBorder="1"/>
    <xf numFmtId="0" fontId="0" fillId="0" borderId="6" xfId="0" applyFill="1" applyBorder="1"/>
    <xf numFmtId="0" fontId="1" fillId="0" borderId="7" xfId="1" applyFont="1" applyFill="1" applyBorder="1" applyAlignment="1">
      <alignment wrapText="1"/>
    </xf>
    <xf numFmtId="165" fontId="7" fillId="0" borderId="16" xfId="0" applyNumberFormat="1" applyFont="1" applyFill="1" applyBorder="1"/>
    <xf numFmtId="0" fontId="15" fillId="0" borderId="16" xfId="0" applyFont="1" applyFill="1" applyBorder="1"/>
    <xf numFmtId="0" fontId="15" fillId="0" borderId="8" xfId="0" applyFont="1" applyFill="1" applyBorder="1"/>
    <xf numFmtId="165" fontId="7" fillId="0" borderId="6" xfId="0" applyNumberFormat="1" applyFont="1" applyFill="1" applyBorder="1"/>
    <xf numFmtId="167" fontId="15" fillId="0" borderId="6" xfId="0" applyNumberFormat="1" applyFont="1" applyFill="1" applyBorder="1"/>
    <xf numFmtId="0" fontId="16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167" fontId="15" fillId="0" borderId="16" xfId="0" applyNumberFormat="1" applyFont="1" applyFill="1" applyBorder="1"/>
    <xf numFmtId="0" fontId="1" fillId="0" borderId="0" xfId="0" applyFont="1" applyFill="1" applyBorder="1" applyAlignment="1">
      <alignment horizontal="right"/>
    </xf>
    <xf numFmtId="4" fontId="22" fillId="2" borderId="1" xfId="0" applyNumberFormat="1" applyFont="1" applyFill="1" applyBorder="1" applyAlignment="1">
      <alignment horizontal="right"/>
    </xf>
    <xf numFmtId="49" fontId="23" fillId="3" borderId="1" xfId="0" applyNumberFormat="1" applyFont="1" applyFill="1" applyBorder="1" applyAlignment="1">
      <alignment horizontal="center" vertical="center" wrapText="1"/>
    </xf>
    <xf numFmtId="164" fontId="23" fillId="3" borderId="1" xfId="0" applyNumberFormat="1" applyFont="1" applyFill="1" applyBorder="1" applyAlignment="1">
      <alignment horizontal="justify" vertical="center" wrapText="1"/>
    </xf>
    <xf numFmtId="165" fontId="23" fillId="3" borderId="1" xfId="0" applyNumberFormat="1" applyFont="1" applyFill="1" applyBorder="1" applyAlignment="1">
      <alignment horizontal="right" wrapText="1"/>
    </xf>
    <xf numFmtId="165" fontId="12" fillId="3" borderId="1" xfId="0" applyNumberFormat="1" applyFont="1" applyFill="1" applyBorder="1" applyAlignment="1">
      <alignment horizontal="right" wrapText="1"/>
    </xf>
    <xf numFmtId="49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justify" vertical="center" wrapText="1"/>
    </xf>
    <xf numFmtId="165" fontId="21" fillId="0" borderId="1" xfId="0" applyNumberFormat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right" wrapText="1"/>
    </xf>
    <xf numFmtId="165" fontId="0" fillId="0" borderId="0" xfId="0" applyNumberFormat="1"/>
    <xf numFmtId="0" fontId="1" fillId="0" borderId="0" xfId="0" applyFont="1" applyFill="1" applyAlignment="1">
      <alignment horizontal="right" wrapText="1"/>
    </xf>
    <xf numFmtId="164" fontId="22" fillId="2" borderId="2" xfId="0" applyNumberFormat="1" applyFont="1" applyFill="1" applyBorder="1" applyAlignment="1">
      <alignment horizontal="left" vertical="center" wrapText="1"/>
    </xf>
    <xf numFmtId="164" fontId="22" fillId="2" borderId="3" xfId="0" applyNumberFormat="1" applyFont="1" applyFill="1" applyBorder="1" applyAlignment="1">
      <alignment horizontal="left" vertical="center" wrapText="1"/>
    </xf>
    <xf numFmtId="164" fontId="12" fillId="3" borderId="2" xfId="0" applyNumberFormat="1" applyFont="1" applyFill="1" applyBorder="1" applyAlignment="1">
      <alignment horizontal="left" vertical="center" wrapText="1"/>
    </xf>
    <xf numFmtId="164" fontId="12" fillId="3" borderId="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1" applyNumberFormat="1" applyFont="1" applyFill="1" applyBorder="1" applyAlignment="1">
      <alignment horizontal="center" wrapText="1" shrinkToFit="1"/>
    </xf>
    <xf numFmtId="0" fontId="17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  <xf numFmtId="0" fontId="16" fillId="0" borderId="0" xfId="0" applyFont="1" applyFill="1" applyAlignment="1"/>
    <xf numFmtId="0" fontId="1" fillId="0" borderId="0" xfId="0" applyFont="1" applyFill="1" applyAlignment="1">
      <alignment horizontal="right"/>
    </xf>
    <xf numFmtId="0" fontId="7" fillId="0" borderId="0" xfId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7" fillId="0" borderId="1" xfId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52"/>
  <sheetViews>
    <sheetView view="pageBreakPreview" zoomScale="60" zoomScaleNormal="100" workbookViewId="0">
      <selection activeCell="B23" sqref="B23"/>
    </sheetView>
  </sheetViews>
  <sheetFormatPr defaultRowHeight="15" x14ac:dyDescent="0.25"/>
  <cols>
    <col min="1" max="1" width="30.85546875" customWidth="1"/>
    <col min="2" max="2" width="78.5703125" customWidth="1"/>
    <col min="3" max="3" width="18.140625" customWidth="1"/>
    <col min="4" max="4" width="11" bestFit="1" customWidth="1"/>
  </cols>
  <sheetData>
    <row r="1" spans="1:3" ht="18.75" x14ac:dyDescent="0.3">
      <c r="A1" s="143" t="s">
        <v>0</v>
      </c>
      <c r="B1" s="143"/>
      <c r="C1" s="143"/>
    </row>
    <row r="2" spans="1:3" ht="18.75" x14ac:dyDescent="0.3">
      <c r="A2" s="143" t="s">
        <v>1</v>
      </c>
      <c r="B2" s="143"/>
      <c r="C2" s="143"/>
    </row>
    <row r="3" spans="1:3" ht="18.75" x14ac:dyDescent="0.3">
      <c r="A3" s="143" t="s">
        <v>2</v>
      </c>
      <c r="B3" s="143"/>
      <c r="C3" s="143"/>
    </row>
    <row r="4" spans="1:3" ht="18.75" x14ac:dyDescent="0.3">
      <c r="A4" s="143" t="s">
        <v>792</v>
      </c>
      <c r="B4" s="143"/>
      <c r="C4" s="143"/>
    </row>
    <row r="5" spans="1:3" ht="18.75" x14ac:dyDescent="0.3">
      <c r="A5" s="1"/>
      <c r="B5" s="5"/>
      <c r="C5" s="3"/>
    </row>
    <row r="6" spans="1:3" ht="18.75" x14ac:dyDescent="0.3">
      <c r="A6" s="143" t="s">
        <v>0</v>
      </c>
      <c r="B6" s="143"/>
      <c r="C6" s="143"/>
    </row>
    <row r="7" spans="1:3" ht="18.75" x14ac:dyDescent="0.3">
      <c r="A7" s="143" t="s">
        <v>1</v>
      </c>
      <c r="B7" s="143"/>
      <c r="C7" s="143"/>
    </row>
    <row r="8" spans="1:3" ht="18.75" x14ac:dyDescent="0.3">
      <c r="A8" s="143" t="s">
        <v>2</v>
      </c>
      <c r="B8" s="143"/>
      <c r="C8" s="143"/>
    </row>
    <row r="9" spans="1:3" ht="18.75" x14ac:dyDescent="0.3">
      <c r="A9" s="143" t="s">
        <v>3</v>
      </c>
      <c r="B9" s="143"/>
      <c r="C9" s="143"/>
    </row>
    <row r="10" spans="1:3" ht="18.75" x14ac:dyDescent="0.3">
      <c r="A10" s="127"/>
      <c r="B10" s="127"/>
      <c r="C10" s="127"/>
    </row>
    <row r="11" spans="1:3" ht="39.75" customHeight="1" x14ac:dyDescent="0.25">
      <c r="A11" s="144" t="s">
        <v>4</v>
      </c>
      <c r="B11" s="144"/>
      <c r="C11" s="144"/>
    </row>
    <row r="12" spans="1:3" x14ac:dyDescent="0.25">
      <c r="A12" s="6"/>
      <c r="B12" s="6"/>
      <c r="C12" s="6"/>
    </row>
    <row r="13" spans="1:3" ht="18.75" x14ac:dyDescent="0.25">
      <c r="A13" s="7"/>
      <c r="B13" s="6"/>
      <c r="C13" s="7" t="s">
        <v>5</v>
      </c>
    </row>
    <row r="14" spans="1:3" ht="15" customHeight="1" x14ac:dyDescent="0.25">
      <c r="A14" s="145" t="s">
        <v>6</v>
      </c>
      <c r="B14" s="145" t="s">
        <v>7</v>
      </c>
      <c r="C14" s="146" t="s">
        <v>8</v>
      </c>
    </row>
    <row r="15" spans="1:3" ht="15" customHeight="1" x14ac:dyDescent="0.25">
      <c r="A15" s="145"/>
      <c r="B15" s="145"/>
      <c r="C15" s="146"/>
    </row>
    <row r="16" spans="1:3" ht="15" customHeight="1" x14ac:dyDescent="0.25">
      <c r="A16" s="145"/>
      <c r="B16" s="145"/>
      <c r="C16" s="146"/>
    </row>
    <row r="17" spans="1:3" ht="18.75" x14ac:dyDescent="0.3">
      <c r="A17" s="139" t="s">
        <v>11</v>
      </c>
      <c r="B17" s="140"/>
      <c r="C17" s="128"/>
    </row>
    <row r="18" spans="1:3" ht="18.75" x14ac:dyDescent="0.3">
      <c r="A18" s="129" t="s">
        <v>12</v>
      </c>
      <c r="B18" s="130" t="s">
        <v>13</v>
      </c>
      <c r="C18" s="131">
        <v>302500.65000000002</v>
      </c>
    </row>
    <row r="19" spans="1:3" ht="15.75" x14ac:dyDescent="0.25">
      <c r="A19" s="141" t="s">
        <v>14</v>
      </c>
      <c r="B19" s="142"/>
      <c r="C19" s="132">
        <v>277529.21999999997</v>
      </c>
    </row>
    <row r="20" spans="1:3" ht="15.75" x14ac:dyDescent="0.25">
      <c r="A20" s="133" t="s">
        <v>15</v>
      </c>
      <c r="B20" s="134" t="s">
        <v>16</v>
      </c>
      <c r="C20" s="135">
        <v>247169.13500000001</v>
      </c>
    </row>
    <row r="21" spans="1:3" ht="15.75" x14ac:dyDescent="0.25">
      <c r="A21" s="23" t="s">
        <v>17</v>
      </c>
      <c r="B21" s="25" t="s">
        <v>18</v>
      </c>
      <c r="C21" s="136">
        <v>247169.13500000001</v>
      </c>
    </row>
    <row r="22" spans="1:3" ht="63" x14ac:dyDescent="0.25">
      <c r="A22" s="23" t="s">
        <v>19</v>
      </c>
      <c r="B22" s="25" t="s">
        <v>20</v>
      </c>
      <c r="C22" s="136">
        <v>246047.58900000001</v>
      </c>
    </row>
    <row r="23" spans="1:3" ht="94.5" x14ac:dyDescent="0.25">
      <c r="A23" s="23" t="s">
        <v>21</v>
      </c>
      <c r="B23" s="25" t="s">
        <v>22</v>
      </c>
      <c r="C23" s="136">
        <v>351.54599999999999</v>
      </c>
    </row>
    <row r="24" spans="1:3" ht="47.25" x14ac:dyDescent="0.25">
      <c r="A24" s="23" t="s">
        <v>23</v>
      </c>
      <c r="B24" s="25" t="s">
        <v>24</v>
      </c>
      <c r="C24" s="136">
        <v>770</v>
      </c>
    </row>
    <row r="25" spans="1:3" ht="31.5" x14ac:dyDescent="0.25">
      <c r="A25" s="133" t="s">
        <v>25</v>
      </c>
      <c r="B25" s="134" t="s">
        <v>26</v>
      </c>
      <c r="C25" s="135">
        <v>11717.95</v>
      </c>
    </row>
    <row r="26" spans="1:3" ht="31.5" x14ac:dyDescent="0.25">
      <c r="A26" s="23" t="s">
        <v>27</v>
      </c>
      <c r="B26" s="25" t="s">
        <v>28</v>
      </c>
      <c r="C26" s="136">
        <v>11717.95</v>
      </c>
    </row>
    <row r="27" spans="1:3" ht="63" x14ac:dyDescent="0.25">
      <c r="A27" s="23" t="s">
        <v>29</v>
      </c>
      <c r="B27" s="25" t="s">
        <v>30</v>
      </c>
      <c r="C27" s="136">
        <v>5026.6409999999996</v>
      </c>
    </row>
    <row r="28" spans="1:3" ht="94.5" x14ac:dyDescent="0.25">
      <c r="A28" s="23" t="s">
        <v>31</v>
      </c>
      <c r="B28" s="25" t="s">
        <v>32</v>
      </c>
      <c r="C28" s="136">
        <v>5026.6409999999996</v>
      </c>
    </row>
    <row r="29" spans="1:3" ht="78.75" x14ac:dyDescent="0.25">
      <c r="A29" s="23" t="s">
        <v>33</v>
      </c>
      <c r="B29" s="25" t="s">
        <v>34</v>
      </c>
      <c r="C29" s="136">
        <v>36.848999999999997</v>
      </c>
    </row>
    <row r="30" spans="1:3" ht="110.25" x14ac:dyDescent="0.25">
      <c r="A30" s="23" t="s">
        <v>35</v>
      </c>
      <c r="B30" s="25" t="s">
        <v>36</v>
      </c>
      <c r="C30" s="136">
        <v>36.848999999999997</v>
      </c>
    </row>
    <row r="31" spans="1:3" ht="63" x14ac:dyDescent="0.25">
      <c r="A31" s="23" t="s">
        <v>37</v>
      </c>
      <c r="B31" s="25" t="s">
        <v>38</v>
      </c>
      <c r="C31" s="136">
        <v>6654.46</v>
      </c>
    </row>
    <row r="32" spans="1:3" ht="94.5" x14ac:dyDescent="0.25">
      <c r="A32" s="23" t="s">
        <v>39</v>
      </c>
      <c r="B32" s="25" t="s">
        <v>40</v>
      </c>
      <c r="C32" s="136">
        <v>6654.46</v>
      </c>
    </row>
    <row r="33" spans="1:3" ht="15.75" x14ac:dyDescent="0.25">
      <c r="A33" s="133" t="s">
        <v>41</v>
      </c>
      <c r="B33" s="134" t="s">
        <v>42</v>
      </c>
      <c r="C33" s="135">
        <v>15687.123</v>
      </c>
    </row>
    <row r="34" spans="1:3" ht="31.5" x14ac:dyDescent="0.25">
      <c r="A34" s="23" t="s">
        <v>43</v>
      </c>
      <c r="B34" s="25" t="s">
        <v>44</v>
      </c>
      <c r="C34" s="136">
        <v>7365</v>
      </c>
    </row>
    <row r="35" spans="1:3" ht="31.5" x14ac:dyDescent="0.25">
      <c r="A35" s="23" t="s">
        <v>45</v>
      </c>
      <c r="B35" s="25" t="s">
        <v>46</v>
      </c>
      <c r="C35" s="136">
        <v>6270</v>
      </c>
    </row>
    <row r="36" spans="1:3" ht="31.5" x14ac:dyDescent="0.25">
      <c r="A36" s="23" t="s">
        <v>47</v>
      </c>
      <c r="B36" s="25" t="s">
        <v>46</v>
      </c>
      <c r="C36" s="136">
        <v>6270</v>
      </c>
    </row>
    <row r="37" spans="1:3" ht="31.5" x14ac:dyDescent="0.25">
      <c r="A37" s="23" t="s">
        <v>48</v>
      </c>
      <c r="B37" s="25" t="s">
        <v>49</v>
      </c>
      <c r="C37" s="136">
        <v>1095</v>
      </c>
    </row>
    <row r="38" spans="1:3" ht="63" x14ac:dyDescent="0.25">
      <c r="A38" s="23" t="s">
        <v>50</v>
      </c>
      <c r="B38" s="25" t="s">
        <v>51</v>
      </c>
      <c r="C38" s="136">
        <v>1095</v>
      </c>
    </row>
    <row r="39" spans="1:3" ht="15.75" x14ac:dyDescent="0.25">
      <c r="A39" s="23" t="s">
        <v>52</v>
      </c>
      <c r="B39" s="25" t="s">
        <v>53</v>
      </c>
      <c r="C39" s="136">
        <v>7722.1229999999996</v>
      </c>
    </row>
    <row r="40" spans="1:3" ht="15.75" x14ac:dyDescent="0.25">
      <c r="A40" s="23" t="s">
        <v>54</v>
      </c>
      <c r="B40" s="25" t="s">
        <v>53</v>
      </c>
      <c r="C40" s="136">
        <v>7722</v>
      </c>
    </row>
    <row r="41" spans="1:3" ht="31.5" x14ac:dyDescent="0.25">
      <c r="A41" s="23" t="s">
        <v>55</v>
      </c>
      <c r="B41" s="25" t="s">
        <v>56</v>
      </c>
      <c r="C41" s="136">
        <v>0.123</v>
      </c>
    </row>
    <row r="42" spans="1:3" ht="15.75" x14ac:dyDescent="0.25">
      <c r="A42" s="23" t="s">
        <v>57</v>
      </c>
      <c r="B42" s="25" t="s">
        <v>58</v>
      </c>
      <c r="C42" s="136">
        <v>80</v>
      </c>
    </row>
    <row r="43" spans="1:3" ht="15.75" x14ac:dyDescent="0.25">
      <c r="A43" s="23" t="s">
        <v>59</v>
      </c>
      <c r="B43" s="25" t="s">
        <v>58</v>
      </c>
      <c r="C43" s="136">
        <v>80</v>
      </c>
    </row>
    <row r="44" spans="1:3" ht="31.5" x14ac:dyDescent="0.25">
      <c r="A44" s="23" t="s">
        <v>60</v>
      </c>
      <c r="B44" s="25" t="s">
        <v>61</v>
      </c>
      <c r="C44" s="136">
        <v>520</v>
      </c>
    </row>
    <row r="45" spans="1:3" ht="31.5" x14ac:dyDescent="0.25">
      <c r="A45" s="23" t="s">
        <v>62</v>
      </c>
      <c r="B45" s="25" t="s">
        <v>63</v>
      </c>
      <c r="C45" s="136">
        <v>520</v>
      </c>
    </row>
    <row r="46" spans="1:3" ht="15.75" x14ac:dyDescent="0.25">
      <c r="A46" s="133" t="s">
        <v>64</v>
      </c>
      <c r="B46" s="134" t="s">
        <v>65</v>
      </c>
      <c r="C46" s="135">
        <v>5.0119999999999996</v>
      </c>
    </row>
    <row r="47" spans="1:3" ht="15.75" x14ac:dyDescent="0.25">
      <c r="A47" s="23" t="s">
        <v>66</v>
      </c>
      <c r="B47" s="25" t="s">
        <v>67</v>
      </c>
      <c r="C47" s="136">
        <v>5.0119999999999996</v>
      </c>
    </row>
    <row r="48" spans="1:3" ht="15.75" x14ac:dyDescent="0.25">
      <c r="A48" s="23" t="s">
        <v>68</v>
      </c>
      <c r="B48" s="25" t="s">
        <v>69</v>
      </c>
      <c r="C48" s="136">
        <v>2.3159999999999998</v>
      </c>
    </row>
    <row r="49" spans="1:3" ht="31.5" x14ac:dyDescent="0.25">
      <c r="A49" s="23" t="s">
        <v>70</v>
      </c>
      <c r="B49" s="25" t="s">
        <v>71</v>
      </c>
      <c r="C49" s="136">
        <v>2.3159999999999998</v>
      </c>
    </row>
    <row r="50" spans="1:3" ht="15.75" x14ac:dyDescent="0.25">
      <c r="A50" s="23" t="s">
        <v>72</v>
      </c>
      <c r="B50" s="25" t="s">
        <v>73</v>
      </c>
      <c r="C50" s="136">
        <v>2.6960000000000002</v>
      </c>
    </row>
    <row r="51" spans="1:3" ht="31.5" x14ac:dyDescent="0.25">
      <c r="A51" s="23" t="s">
        <v>74</v>
      </c>
      <c r="B51" s="25" t="s">
        <v>75</v>
      </c>
      <c r="C51" s="136">
        <v>2.6960000000000002</v>
      </c>
    </row>
    <row r="52" spans="1:3" ht="15.75" x14ac:dyDescent="0.25">
      <c r="A52" s="133" t="s">
        <v>76</v>
      </c>
      <c r="B52" s="134" t="s">
        <v>77</v>
      </c>
      <c r="C52" s="135">
        <v>2950</v>
      </c>
    </row>
    <row r="53" spans="1:3" ht="31.5" x14ac:dyDescent="0.25">
      <c r="A53" s="23" t="s">
        <v>78</v>
      </c>
      <c r="B53" s="25" t="s">
        <v>79</v>
      </c>
      <c r="C53" s="136">
        <v>2950</v>
      </c>
    </row>
    <row r="54" spans="1:3" ht="47.25" x14ac:dyDescent="0.25">
      <c r="A54" s="23" t="s">
        <v>80</v>
      </c>
      <c r="B54" s="25" t="s">
        <v>81</v>
      </c>
      <c r="C54" s="136">
        <v>2950</v>
      </c>
    </row>
    <row r="55" spans="1:3" ht="15.75" x14ac:dyDescent="0.25">
      <c r="A55" s="141" t="s">
        <v>82</v>
      </c>
      <c r="B55" s="142"/>
      <c r="C55" s="132">
        <v>24971.43</v>
      </c>
    </row>
    <row r="56" spans="1:3" ht="31.5" x14ac:dyDescent="0.25">
      <c r="A56" s="133" t="s">
        <v>83</v>
      </c>
      <c r="B56" s="134" t="s">
        <v>84</v>
      </c>
      <c r="C56" s="135">
        <v>13387.31</v>
      </c>
    </row>
    <row r="57" spans="1:3" ht="78.75" x14ac:dyDescent="0.25">
      <c r="A57" s="23" t="s">
        <v>85</v>
      </c>
      <c r="B57" s="25" t="s">
        <v>86</v>
      </c>
      <c r="C57" s="136">
        <v>13137.31</v>
      </c>
    </row>
    <row r="58" spans="1:3" ht="63" x14ac:dyDescent="0.25">
      <c r="A58" s="23" t="s">
        <v>87</v>
      </c>
      <c r="B58" s="25" t="s">
        <v>88</v>
      </c>
      <c r="C58" s="136">
        <v>4500</v>
      </c>
    </row>
    <row r="59" spans="1:3" ht="78.75" x14ac:dyDescent="0.25">
      <c r="A59" s="23" t="s">
        <v>89</v>
      </c>
      <c r="B59" s="25" t="s">
        <v>90</v>
      </c>
      <c r="C59" s="136">
        <v>2900</v>
      </c>
    </row>
    <row r="60" spans="1:3" ht="63" x14ac:dyDescent="0.25">
      <c r="A60" s="23" t="s">
        <v>91</v>
      </c>
      <c r="B60" s="25" t="s">
        <v>92</v>
      </c>
      <c r="C60" s="136">
        <v>1600</v>
      </c>
    </row>
    <row r="61" spans="1:3" ht="63" x14ac:dyDescent="0.25">
      <c r="A61" s="23" t="s">
        <v>93</v>
      </c>
      <c r="B61" s="25" t="s">
        <v>94</v>
      </c>
      <c r="C61" s="136">
        <v>230</v>
      </c>
    </row>
    <row r="62" spans="1:3" ht="63" x14ac:dyDescent="0.25">
      <c r="A62" s="23" t="s">
        <v>95</v>
      </c>
      <c r="B62" s="25" t="s">
        <v>96</v>
      </c>
      <c r="C62" s="136">
        <v>230</v>
      </c>
    </row>
    <row r="63" spans="1:3" ht="31.5" x14ac:dyDescent="0.25">
      <c r="A63" s="23" t="s">
        <v>97</v>
      </c>
      <c r="B63" s="25" t="s">
        <v>98</v>
      </c>
      <c r="C63" s="136">
        <v>8407.31</v>
      </c>
    </row>
    <row r="64" spans="1:3" ht="31.5" x14ac:dyDescent="0.25">
      <c r="A64" s="23" t="s">
        <v>99</v>
      </c>
      <c r="B64" s="25" t="s">
        <v>100</v>
      </c>
      <c r="C64" s="136">
        <v>8407.31</v>
      </c>
    </row>
    <row r="65" spans="1:3" ht="78.75" x14ac:dyDescent="0.25">
      <c r="A65" s="23" t="s">
        <v>101</v>
      </c>
      <c r="B65" s="25" t="s">
        <v>102</v>
      </c>
      <c r="C65" s="136">
        <v>250</v>
      </c>
    </row>
    <row r="66" spans="1:3" ht="78.75" x14ac:dyDescent="0.25">
      <c r="A66" s="23" t="s">
        <v>103</v>
      </c>
      <c r="B66" s="25" t="s">
        <v>104</v>
      </c>
      <c r="C66" s="136">
        <v>250</v>
      </c>
    </row>
    <row r="67" spans="1:3" ht="63" x14ac:dyDescent="0.25">
      <c r="A67" s="23" t="s">
        <v>105</v>
      </c>
      <c r="B67" s="25" t="s">
        <v>106</v>
      </c>
      <c r="C67" s="136">
        <v>250</v>
      </c>
    </row>
    <row r="68" spans="1:3" ht="15.75" x14ac:dyDescent="0.25">
      <c r="A68" s="133" t="s">
        <v>107</v>
      </c>
      <c r="B68" s="134" t="s">
        <v>108</v>
      </c>
      <c r="C68" s="135">
        <v>2673.6</v>
      </c>
    </row>
    <row r="69" spans="1:3" ht="15.75" x14ac:dyDescent="0.25">
      <c r="A69" s="23" t="s">
        <v>109</v>
      </c>
      <c r="B69" s="25" t="s">
        <v>110</v>
      </c>
      <c r="C69" s="136">
        <v>2673.6</v>
      </c>
    </row>
    <row r="70" spans="1:3" ht="31.5" x14ac:dyDescent="0.25">
      <c r="A70" s="23" t="s">
        <v>111</v>
      </c>
      <c r="B70" s="25" t="s">
        <v>112</v>
      </c>
      <c r="C70" s="136">
        <v>995.2</v>
      </c>
    </row>
    <row r="71" spans="1:3" ht="15.75" x14ac:dyDescent="0.25">
      <c r="A71" s="23" t="s">
        <v>113</v>
      </c>
      <c r="B71" s="25" t="s">
        <v>114</v>
      </c>
      <c r="C71" s="136">
        <v>1678.4</v>
      </c>
    </row>
    <row r="72" spans="1:3" ht="15.75" x14ac:dyDescent="0.25">
      <c r="A72" s="23" t="s">
        <v>115</v>
      </c>
      <c r="B72" s="25" t="s">
        <v>116</v>
      </c>
      <c r="C72" s="136">
        <v>0</v>
      </c>
    </row>
    <row r="73" spans="1:3" ht="31.5" x14ac:dyDescent="0.25">
      <c r="A73" s="133" t="s">
        <v>117</v>
      </c>
      <c r="B73" s="134" t="s">
        <v>118</v>
      </c>
      <c r="C73" s="135">
        <v>487.49599999999998</v>
      </c>
    </row>
    <row r="74" spans="1:3" ht="15.75" x14ac:dyDescent="0.25">
      <c r="A74" s="23" t="s">
        <v>119</v>
      </c>
      <c r="B74" s="25" t="s">
        <v>120</v>
      </c>
      <c r="C74" s="136">
        <v>487.49599999999998</v>
      </c>
    </row>
    <row r="75" spans="1:3" ht="15.75" x14ac:dyDescent="0.25">
      <c r="A75" s="23" t="s">
        <v>121</v>
      </c>
      <c r="B75" s="25" t="s">
        <v>122</v>
      </c>
      <c r="C75" s="136">
        <v>487.49599999999998</v>
      </c>
    </row>
    <row r="76" spans="1:3" ht="15.75" x14ac:dyDescent="0.25">
      <c r="A76" s="23" t="s">
        <v>123</v>
      </c>
      <c r="B76" s="25" t="s">
        <v>124</v>
      </c>
      <c r="C76" s="136">
        <v>487.49599999999998</v>
      </c>
    </row>
    <row r="77" spans="1:3" ht="31.5" x14ac:dyDescent="0.25">
      <c r="A77" s="133" t="s">
        <v>125</v>
      </c>
      <c r="B77" s="134" t="s">
        <v>126</v>
      </c>
      <c r="C77" s="135">
        <v>4361.0709999999999</v>
      </c>
    </row>
    <row r="78" spans="1:3" ht="63" x14ac:dyDescent="0.25">
      <c r="A78" s="23" t="s">
        <v>127</v>
      </c>
      <c r="B78" s="25" t="s">
        <v>128</v>
      </c>
      <c r="C78" s="136">
        <v>2796.5</v>
      </c>
    </row>
    <row r="79" spans="1:3" ht="78.75" x14ac:dyDescent="0.25">
      <c r="A79" s="23" t="s">
        <v>129</v>
      </c>
      <c r="B79" s="25" t="s">
        <v>130</v>
      </c>
      <c r="C79" s="136">
        <v>2796.5</v>
      </c>
    </row>
    <row r="80" spans="1:3" ht="78.75" x14ac:dyDescent="0.25">
      <c r="A80" s="23" t="s">
        <v>131</v>
      </c>
      <c r="B80" s="25" t="s">
        <v>132</v>
      </c>
      <c r="C80" s="136">
        <v>2796.5</v>
      </c>
    </row>
    <row r="81" spans="1:3" ht="31.5" x14ac:dyDescent="0.25">
      <c r="A81" s="23" t="s">
        <v>133</v>
      </c>
      <c r="B81" s="25" t="s">
        <v>134</v>
      </c>
      <c r="C81" s="136">
        <v>1564.5709999999999</v>
      </c>
    </row>
    <row r="82" spans="1:3" ht="31.5" x14ac:dyDescent="0.25">
      <c r="A82" s="23" t="s">
        <v>135</v>
      </c>
      <c r="B82" s="25" t="s">
        <v>136</v>
      </c>
      <c r="C82" s="136">
        <v>963.70500000000004</v>
      </c>
    </row>
    <row r="83" spans="1:3" ht="47.25" x14ac:dyDescent="0.25">
      <c r="A83" s="23" t="s">
        <v>137</v>
      </c>
      <c r="B83" s="25" t="s">
        <v>138</v>
      </c>
      <c r="C83" s="136">
        <v>55</v>
      </c>
    </row>
    <row r="84" spans="1:3" ht="47.25" x14ac:dyDescent="0.25">
      <c r="A84" s="23" t="s">
        <v>139</v>
      </c>
      <c r="B84" s="25" t="s">
        <v>140</v>
      </c>
      <c r="C84" s="136">
        <v>908.70500000000004</v>
      </c>
    </row>
    <row r="85" spans="1:3" ht="47.25" x14ac:dyDescent="0.25">
      <c r="A85" s="23" t="s">
        <v>141</v>
      </c>
      <c r="B85" s="25" t="s">
        <v>142</v>
      </c>
      <c r="C85" s="136">
        <v>600.86599999999999</v>
      </c>
    </row>
    <row r="86" spans="1:3" ht="47.25" x14ac:dyDescent="0.25">
      <c r="A86" s="23" t="s">
        <v>143</v>
      </c>
      <c r="B86" s="25" t="s">
        <v>144</v>
      </c>
      <c r="C86" s="136">
        <v>600.86599999999999</v>
      </c>
    </row>
    <row r="87" spans="1:3" ht="15.75" x14ac:dyDescent="0.25">
      <c r="A87" s="133" t="s">
        <v>145</v>
      </c>
      <c r="B87" s="134" t="s">
        <v>146</v>
      </c>
      <c r="C87" s="135">
        <v>4061.953</v>
      </c>
    </row>
    <row r="88" spans="1:3" ht="31.5" x14ac:dyDescent="0.25">
      <c r="A88" s="23" t="s">
        <v>147</v>
      </c>
      <c r="B88" s="25" t="s">
        <v>148</v>
      </c>
      <c r="C88" s="136">
        <v>66.341999999999999</v>
      </c>
    </row>
    <row r="89" spans="1:3" ht="63" x14ac:dyDescent="0.25">
      <c r="A89" s="23" t="s">
        <v>149</v>
      </c>
      <c r="B89" s="25" t="s">
        <v>150</v>
      </c>
      <c r="C89" s="136">
        <v>66.176000000000002</v>
      </c>
    </row>
    <row r="90" spans="1:3" ht="47.25" x14ac:dyDescent="0.25">
      <c r="A90" s="23" t="s">
        <v>151</v>
      </c>
      <c r="B90" s="25" t="s">
        <v>152</v>
      </c>
      <c r="C90" s="136">
        <v>0.16600000000000001</v>
      </c>
    </row>
    <row r="91" spans="1:3" ht="47.25" x14ac:dyDescent="0.25">
      <c r="A91" s="23" t="s">
        <v>153</v>
      </c>
      <c r="B91" s="25" t="s">
        <v>154</v>
      </c>
      <c r="C91" s="136">
        <v>70</v>
      </c>
    </row>
    <row r="92" spans="1:3" ht="47.25" x14ac:dyDescent="0.25">
      <c r="A92" s="23" t="s">
        <v>155</v>
      </c>
      <c r="B92" s="25" t="s">
        <v>156</v>
      </c>
      <c r="C92" s="136">
        <v>70</v>
      </c>
    </row>
    <row r="93" spans="1:3" ht="31.5" x14ac:dyDescent="0.25">
      <c r="A93" s="23" t="s">
        <v>157</v>
      </c>
      <c r="B93" s="25" t="s">
        <v>158</v>
      </c>
      <c r="C93" s="136">
        <v>10</v>
      </c>
    </row>
    <row r="94" spans="1:3" ht="31.5" x14ac:dyDescent="0.25">
      <c r="A94" s="23" t="s">
        <v>159</v>
      </c>
      <c r="B94" s="25" t="s">
        <v>160</v>
      </c>
      <c r="C94" s="136">
        <v>10</v>
      </c>
    </row>
    <row r="95" spans="1:3" ht="94.5" x14ac:dyDescent="0.25">
      <c r="A95" s="23" t="s">
        <v>161</v>
      </c>
      <c r="B95" s="25" t="s">
        <v>162</v>
      </c>
      <c r="C95" s="136">
        <v>218.42500000000001</v>
      </c>
    </row>
    <row r="96" spans="1:3" ht="31.5" x14ac:dyDescent="0.25">
      <c r="A96" s="23" t="s">
        <v>163</v>
      </c>
      <c r="B96" s="25" t="s">
        <v>164</v>
      </c>
      <c r="C96" s="136">
        <v>74.924999999999997</v>
      </c>
    </row>
    <row r="97" spans="1:4" ht="31.5" x14ac:dyDescent="0.25">
      <c r="A97" s="23" t="s">
        <v>165</v>
      </c>
      <c r="B97" s="25" t="s">
        <v>166</v>
      </c>
      <c r="C97" s="136">
        <v>6</v>
      </c>
    </row>
    <row r="98" spans="1:4" ht="31.5" x14ac:dyDescent="0.25">
      <c r="A98" s="23" t="s">
        <v>167</v>
      </c>
      <c r="B98" s="25" t="s">
        <v>168</v>
      </c>
      <c r="C98" s="136">
        <v>137</v>
      </c>
    </row>
    <row r="99" spans="1:4" ht="15.75" x14ac:dyDescent="0.25">
      <c r="A99" s="23" t="s">
        <v>169</v>
      </c>
      <c r="B99" s="25" t="s">
        <v>170</v>
      </c>
      <c r="C99" s="136">
        <v>0.5</v>
      </c>
    </row>
    <row r="100" spans="1:4" ht="47.25" x14ac:dyDescent="0.25">
      <c r="A100" s="23" t="s">
        <v>171</v>
      </c>
      <c r="B100" s="25" t="s">
        <v>172</v>
      </c>
      <c r="C100" s="136">
        <v>445.649</v>
      </c>
    </row>
    <row r="101" spans="1:4" ht="31.5" x14ac:dyDescent="0.25">
      <c r="A101" s="23" t="s">
        <v>173</v>
      </c>
      <c r="B101" s="25" t="s">
        <v>174</v>
      </c>
      <c r="C101" s="136">
        <v>208.1</v>
      </c>
    </row>
    <row r="102" spans="1:4" ht="31.5" x14ac:dyDescent="0.25">
      <c r="A102" s="23" t="s">
        <v>175</v>
      </c>
      <c r="B102" s="25" t="s">
        <v>176</v>
      </c>
      <c r="C102" s="136">
        <v>208.1</v>
      </c>
    </row>
    <row r="103" spans="1:4" ht="47.25" x14ac:dyDescent="0.25">
      <c r="A103" s="23" t="s">
        <v>177</v>
      </c>
      <c r="B103" s="25" t="s">
        <v>178</v>
      </c>
      <c r="C103" s="136">
        <v>18</v>
      </c>
    </row>
    <row r="104" spans="1:4" ht="63" x14ac:dyDescent="0.25">
      <c r="A104" s="23" t="s">
        <v>179</v>
      </c>
      <c r="B104" s="25" t="s">
        <v>180</v>
      </c>
      <c r="C104" s="136">
        <v>18</v>
      </c>
    </row>
    <row r="105" spans="1:4" ht="15.75" x14ac:dyDescent="0.25">
      <c r="A105" s="23" t="s">
        <v>181</v>
      </c>
      <c r="B105" s="25" t="s">
        <v>182</v>
      </c>
      <c r="C105" s="136">
        <v>128.792</v>
      </c>
    </row>
    <row r="106" spans="1:4" ht="31.5" x14ac:dyDescent="0.25">
      <c r="A106" s="23" t="s">
        <v>183</v>
      </c>
      <c r="B106" s="25" t="s">
        <v>184</v>
      </c>
      <c r="C106" s="136">
        <v>128.792</v>
      </c>
    </row>
    <row r="107" spans="1:4" ht="63" x14ac:dyDescent="0.25">
      <c r="A107" s="23" t="s">
        <v>185</v>
      </c>
      <c r="B107" s="25" t="s">
        <v>186</v>
      </c>
      <c r="C107" s="136">
        <v>1000.949</v>
      </c>
    </row>
    <row r="108" spans="1:4" ht="31.5" x14ac:dyDescent="0.25">
      <c r="A108" s="23" t="s">
        <v>187</v>
      </c>
      <c r="B108" s="25" t="s">
        <v>188</v>
      </c>
      <c r="C108" s="136">
        <v>1895.6959999999999</v>
      </c>
    </row>
    <row r="109" spans="1:4" ht="31.5" x14ac:dyDescent="0.25">
      <c r="A109" s="23" t="s">
        <v>189</v>
      </c>
      <c r="B109" s="25" t="s">
        <v>190</v>
      </c>
      <c r="C109" s="136">
        <v>1895.6959999999999</v>
      </c>
    </row>
    <row r="110" spans="1:4" ht="18.75" x14ac:dyDescent="0.3">
      <c r="A110" s="129" t="s">
        <v>191</v>
      </c>
      <c r="B110" s="130" t="s">
        <v>192</v>
      </c>
      <c r="C110" s="131">
        <f>C111</f>
        <v>448250.19699999999</v>
      </c>
      <c r="D110" s="137"/>
    </row>
    <row r="111" spans="1:4" ht="31.5" x14ac:dyDescent="0.25">
      <c r="A111" s="133" t="s">
        <v>193</v>
      </c>
      <c r="B111" s="134" t="s">
        <v>194</v>
      </c>
      <c r="C111" s="135">
        <f>448250.197</f>
        <v>448250.19699999999</v>
      </c>
    </row>
    <row r="112" spans="1:4" ht="15.75" x14ac:dyDescent="0.25">
      <c r="A112" s="23" t="s">
        <v>195</v>
      </c>
      <c r="B112" s="25" t="s">
        <v>196</v>
      </c>
      <c r="C112" s="136">
        <v>57797.8</v>
      </c>
    </row>
    <row r="113" spans="1:4" ht="15.75" x14ac:dyDescent="0.25">
      <c r="A113" s="23" t="s">
        <v>197</v>
      </c>
      <c r="B113" s="25" t="s">
        <v>198</v>
      </c>
      <c r="C113" s="136">
        <v>489.1</v>
      </c>
    </row>
    <row r="114" spans="1:4" ht="31.5" x14ac:dyDescent="0.25">
      <c r="A114" s="23" t="s">
        <v>199</v>
      </c>
      <c r="B114" s="25" t="s">
        <v>200</v>
      </c>
      <c r="C114" s="136">
        <v>489.1</v>
      </c>
    </row>
    <row r="115" spans="1:4" ht="31.5" x14ac:dyDescent="0.25">
      <c r="A115" s="23" t="s">
        <v>201</v>
      </c>
      <c r="B115" s="25" t="s">
        <v>202</v>
      </c>
      <c r="C115" s="136">
        <v>57308.7</v>
      </c>
    </row>
    <row r="116" spans="1:4" ht="31.5" x14ac:dyDescent="0.25">
      <c r="A116" s="23" t="s">
        <v>203</v>
      </c>
      <c r="B116" s="25" t="s">
        <v>204</v>
      </c>
      <c r="C116" s="136">
        <v>57308.7</v>
      </c>
    </row>
    <row r="117" spans="1:4" ht="31.5" x14ac:dyDescent="0.25">
      <c r="A117" s="23" t="s">
        <v>205</v>
      </c>
      <c r="B117" s="25" t="s">
        <v>206</v>
      </c>
      <c r="C117" s="136">
        <v>115628.076</v>
      </c>
      <c r="D117" s="137"/>
    </row>
    <row r="118" spans="1:4" ht="94.5" x14ac:dyDescent="0.25">
      <c r="A118" s="23" t="s">
        <v>207</v>
      </c>
      <c r="B118" s="25" t="s">
        <v>208</v>
      </c>
      <c r="C118" s="136">
        <v>29208.51</v>
      </c>
    </row>
    <row r="119" spans="1:4" ht="94.5" x14ac:dyDescent="0.25">
      <c r="A119" s="23" t="s">
        <v>209</v>
      </c>
      <c r="B119" s="25" t="s">
        <v>210</v>
      </c>
      <c r="C119" s="136">
        <v>29208.51</v>
      </c>
    </row>
    <row r="120" spans="1:4" ht="78.75" x14ac:dyDescent="0.25">
      <c r="A120" s="23" t="s">
        <v>211</v>
      </c>
      <c r="B120" s="25" t="s">
        <v>212</v>
      </c>
      <c r="C120" s="136">
        <v>1229.8320000000001</v>
      </c>
    </row>
    <row r="121" spans="1:4" ht="78.75" x14ac:dyDescent="0.25">
      <c r="A121" s="23" t="s">
        <v>213</v>
      </c>
      <c r="B121" s="25" t="s">
        <v>214</v>
      </c>
      <c r="C121" s="136">
        <v>1229.8320000000001</v>
      </c>
    </row>
    <row r="122" spans="1:4" ht="47.25" x14ac:dyDescent="0.25">
      <c r="A122" s="23" t="s">
        <v>215</v>
      </c>
      <c r="B122" s="25" t="s">
        <v>216</v>
      </c>
      <c r="C122" s="136">
        <v>1221.5830000000001</v>
      </c>
    </row>
    <row r="123" spans="1:4" ht="47.25" x14ac:dyDescent="0.25">
      <c r="A123" s="23" t="s">
        <v>217</v>
      </c>
      <c r="B123" s="25" t="s">
        <v>218</v>
      </c>
      <c r="C123" s="136">
        <v>1221.5830000000001</v>
      </c>
    </row>
    <row r="124" spans="1:4" ht="31.5" x14ac:dyDescent="0.25">
      <c r="A124" s="23" t="s">
        <v>219</v>
      </c>
      <c r="B124" s="25" t="s">
        <v>220</v>
      </c>
      <c r="C124" s="136">
        <v>523.33000000000004</v>
      </c>
    </row>
    <row r="125" spans="1:4" ht="31.5" x14ac:dyDescent="0.25">
      <c r="A125" s="23" t="s">
        <v>221</v>
      </c>
      <c r="B125" s="25" t="s">
        <v>222</v>
      </c>
      <c r="C125" s="136">
        <v>523.33000000000004</v>
      </c>
    </row>
    <row r="126" spans="1:4" ht="15.75" x14ac:dyDescent="0.25">
      <c r="A126" s="23" t="s">
        <v>223</v>
      </c>
      <c r="B126" s="25" t="s">
        <v>224</v>
      </c>
      <c r="C126" s="136">
        <v>202.958</v>
      </c>
    </row>
    <row r="127" spans="1:4" ht="31.5" x14ac:dyDescent="0.25">
      <c r="A127" s="23" t="s">
        <v>225</v>
      </c>
      <c r="B127" s="25" t="s">
        <v>226</v>
      </c>
      <c r="C127" s="136">
        <v>202.958</v>
      </c>
    </row>
    <row r="128" spans="1:4" ht="15.75" x14ac:dyDescent="0.25">
      <c r="A128" s="23" t="s">
        <v>227</v>
      </c>
      <c r="B128" s="25" t="s">
        <v>228</v>
      </c>
      <c r="C128" s="136">
        <v>83241.861999999994</v>
      </c>
    </row>
    <row r="129" spans="1:4" ht="15.75" x14ac:dyDescent="0.25">
      <c r="A129" s="23" t="s">
        <v>229</v>
      </c>
      <c r="B129" s="25" t="s">
        <v>230</v>
      </c>
      <c r="C129" s="136">
        <v>83241.861999999994</v>
      </c>
    </row>
    <row r="130" spans="1:4" ht="15.75" x14ac:dyDescent="0.25">
      <c r="A130" s="23" t="s">
        <v>231</v>
      </c>
      <c r="B130" s="25" t="s">
        <v>232</v>
      </c>
      <c r="C130" s="136">
        <v>274784.66200000001</v>
      </c>
      <c r="D130" s="137"/>
    </row>
    <row r="131" spans="1:4" ht="31.5" x14ac:dyDescent="0.25">
      <c r="A131" s="23" t="s">
        <v>233</v>
      </c>
      <c r="B131" s="25" t="s">
        <v>234</v>
      </c>
      <c r="C131" s="136">
        <v>8736.9959999999992</v>
      </c>
    </row>
    <row r="132" spans="1:4" ht="31.5" x14ac:dyDescent="0.25">
      <c r="A132" s="23" t="s">
        <v>235</v>
      </c>
      <c r="B132" s="25" t="s">
        <v>236</v>
      </c>
      <c r="C132" s="136">
        <v>8736.9959999999992</v>
      </c>
    </row>
    <row r="133" spans="1:4" ht="63" x14ac:dyDescent="0.25">
      <c r="A133" s="23" t="s">
        <v>237</v>
      </c>
      <c r="B133" s="25" t="s">
        <v>238</v>
      </c>
      <c r="C133" s="136">
        <v>3481.2</v>
      </c>
    </row>
    <row r="134" spans="1:4" ht="63" x14ac:dyDescent="0.25">
      <c r="A134" s="23" t="s">
        <v>239</v>
      </c>
      <c r="B134" s="25" t="s">
        <v>240</v>
      </c>
      <c r="C134" s="136">
        <v>3481.2</v>
      </c>
    </row>
    <row r="135" spans="1:4" ht="63" x14ac:dyDescent="0.25">
      <c r="A135" s="23" t="s">
        <v>241</v>
      </c>
      <c r="B135" s="25" t="s">
        <v>242</v>
      </c>
      <c r="C135" s="136">
        <v>10134.369000000001</v>
      </c>
    </row>
    <row r="136" spans="1:4" ht="63" x14ac:dyDescent="0.25">
      <c r="A136" s="23" t="s">
        <v>243</v>
      </c>
      <c r="B136" s="25" t="s">
        <v>244</v>
      </c>
      <c r="C136" s="136">
        <v>10134.369000000001</v>
      </c>
    </row>
    <row r="137" spans="1:4" ht="31.5" x14ac:dyDescent="0.25">
      <c r="A137" s="23" t="s">
        <v>245</v>
      </c>
      <c r="B137" s="25" t="s">
        <v>246</v>
      </c>
      <c r="C137" s="136">
        <v>1281.9000000000001</v>
      </c>
    </row>
    <row r="138" spans="1:4" ht="47.25" x14ac:dyDescent="0.25">
      <c r="A138" s="23" t="s">
        <v>247</v>
      </c>
      <c r="B138" s="25" t="s">
        <v>248</v>
      </c>
      <c r="C138" s="136">
        <v>1281.9000000000001</v>
      </c>
    </row>
    <row r="139" spans="1:4" ht="47.25" x14ac:dyDescent="0.25">
      <c r="A139" s="23" t="s">
        <v>249</v>
      </c>
      <c r="B139" s="25" t="s">
        <v>250</v>
      </c>
      <c r="C139" s="136">
        <v>12.3</v>
      </c>
    </row>
    <row r="140" spans="1:4" ht="47.25" x14ac:dyDescent="0.25">
      <c r="A140" s="23" t="s">
        <v>251</v>
      </c>
      <c r="B140" s="25" t="s">
        <v>252</v>
      </c>
      <c r="C140" s="136">
        <v>12.3</v>
      </c>
    </row>
    <row r="141" spans="1:4" ht="47.25" x14ac:dyDescent="0.25">
      <c r="A141" s="23" t="s">
        <v>253</v>
      </c>
      <c r="B141" s="25" t="s">
        <v>254</v>
      </c>
      <c r="C141" s="136">
        <v>834.49800000000005</v>
      </c>
    </row>
    <row r="142" spans="1:4" ht="63" x14ac:dyDescent="0.25">
      <c r="A142" s="23" t="s">
        <v>255</v>
      </c>
      <c r="B142" s="25" t="s">
        <v>256</v>
      </c>
      <c r="C142" s="136">
        <v>834.49800000000005</v>
      </c>
    </row>
    <row r="143" spans="1:4" ht="63" x14ac:dyDescent="0.25">
      <c r="A143" s="23" t="s">
        <v>257</v>
      </c>
      <c r="B143" s="25" t="s">
        <v>258</v>
      </c>
      <c r="C143" s="136">
        <v>834.49800000000005</v>
      </c>
    </row>
    <row r="144" spans="1:4" ht="63" x14ac:dyDescent="0.25">
      <c r="A144" s="23" t="s">
        <v>259</v>
      </c>
      <c r="B144" s="25" t="s">
        <v>260</v>
      </c>
      <c r="C144" s="136">
        <v>834.49800000000005</v>
      </c>
    </row>
    <row r="145" spans="1:3" ht="31.5" x14ac:dyDescent="0.25">
      <c r="A145" s="23" t="s">
        <v>261</v>
      </c>
      <c r="B145" s="25" t="s">
        <v>262</v>
      </c>
      <c r="C145" s="136">
        <v>49.5</v>
      </c>
    </row>
    <row r="146" spans="1:3" ht="31.5" x14ac:dyDescent="0.25">
      <c r="A146" s="23" t="s">
        <v>263</v>
      </c>
      <c r="B146" s="25" t="s">
        <v>264</v>
      </c>
      <c r="C146" s="136">
        <v>49.5</v>
      </c>
    </row>
    <row r="147" spans="1:3" ht="15.75" x14ac:dyDescent="0.25">
      <c r="A147" s="23" t="s">
        <v>265</v>
      </c>
      <c r="B147" s="25" t="s">
        <v>266</v>
      </c>
      <c r="C147" s="136">
        <v>249419.4</v>
      </c>
    </row>
    <row r="148" spans="1:3" ht="15.75" x14ac:dyDescent="0.25">
      <c r="A148" s="23" t="s">
        <v>267</v>
      </c>
      <c r="B148" s="25" t="s">
        <v>268</v>
      </c>
      <c r="C148" s="136">
        <v>249419.4</v>
      </c>
    </row>
    <row r="149" spans="1:3" ht="15.75" x14ac:dyDescent="0.25">
      <c r="A149" s="23" t="s">
        <v>269</v>
      </c>
      <c r="B149" s="25" t="s">
        <v>270</v>
      </c>
      <c r="C149" s="136">
        <v>39.658999999999999</v>
      </c>
    </row>
    <row r="150" spans="1:3" ht="47.25" x14ac:dyDescent="0.25">
      <c r="A150" s="23" t="s">
        <v>271</v>
      </c>
      <c r="B150" s="25" t="s">
        <v>272</v>
      </c>
      <c r="C150" s="136">
        <v>39.658999999999999</v>
      </c>
    </row>
    <row r="151" spans="1:3" ht="63" x14ac:dyDescent="0.25">
      <c r="A151" s="23" t="s">
        <v>273</v>
      </c>
      <c r="B151" s="25" t="s">
        <v>274</v>
      </c>
      <c r="C151" s="136">
        <v>39.658999999999999</v>
      </c>
    </row>
    <row r="152" spans="1:3" ht="15.75" x14ac:dyDescent="0.25">
      <c r="A152" s="141" t="s">
        <v>275</v>
      </c>
      <c r="B152" s="142"/>
      <c r="C152" s="132">
        <v>750750.84699999995</v>
      </c>
    </row>
  </sheetData>
  <mergeCells count="16">
    <mergeCell ref="A1:C1"/>
    <mergeCell ref="A2:C2"/>
    <mergeCell ref="A3:C3"/>
    <mergeCell ref="A4:C4"/>
    <mergeCell ref="A6:C6"/>
    <mergeCell ref="A17:B17"/>
    <mergeCell ref="A19:B19"/>
    <mergeCell ref="A55:B55"/>
    <mergeCell ref="A152:B152"/>
    <mergeCell ref="A7:C7"/>
    <mergeCell ref="A8:C8"/>
    <mergeCell ref="A9:C9"/>
    <mergeCell ref="A11:C11"/>
    <mergeCell ref="A14:A16"/>
    <mergeCell ref="B14:B16"/>
    <mergeCell ref="C14:C16"/>
  </mergeCells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view="pageBreakPreview" zoomScale="60" zoomScaleNormal="100" workbookViewId="0">
      <selection activeCell="AD43" sqref="AD43"/>
    </sheetView>
  </sheetViews>
  <sheetFormatPr defaultRowHeight="15" x14ac:dyDescent="0.25"/>
  <cols>
    <col min="1" max="1" width="48" customWidth="1"/>
    <col min="2" max="2" width="15.28515625" customWidth="1"/>
    <col min="3" max="4" width="0" hidden="1" customWidth="1"/>
    <col min="5" max="5" width="24.28515625" customWidth="1"/>
    <col min="6" max="6" width="25.85546875" customWidth="1"/>
  </cols>
  <sheetData>
    <row r="1" spans="1:6" ht="18.75" x14ac:dyDescent="0.3">
      <c r="A1" s="102"/>
      <c r="B1" s="83"/>
      <c r="C1" s="83"/>
      <c r="D1" s="83"/>
      <c r="E1" s="165" t="s">
        <v>794</v>
      </c>
      <c r="F1" s="165"/>
    </row>
    <row r="2" spans="1:6" ht="18.75" x14ac:dyDescent="0.3">
      <c r="A2" s="102"/>
      <c r="B2" s="83"/>
      <c r="C2" s="83"/>
      <c r="D2" s="83"/>
      <c r="E2" s="165" t="s">
        <v>744</v>
      </c>
      <c r="F2" s="165"/>
    </row>
    <row r="3" spans="1:6" ht="18.75" customHeight="1" x14ac:dyDescent="0.3">
      <c r="A3" s="102"/>
      <c r="B3" s="165" t="s">
        <v>2</v>
      </c>
      <c r="C3" s="165"/>
      <c r="D3" s="165"/>
      <c r="E3" s="165"/>
      <c r="F3" s="165"/>
    </row>
    <row r="4" spans="1:6" ht="18.75" x14ac:dyDescent="0.3">
      <c r="A4" s="166" t="str">
        <f>'Прил. 1 (Доходы)'!A4:C4</f>
        <v>от 18 декабря 2019 г. № 51</v>
      </c>
      <c r="B4" s="166"/>
      <c r="C4" s="166"/>
      <c r="D4" s="166"/>
      <c r="E4" s="166"/>
      <c r="F4" s="166"/>
    </row>
    <row r="5" spans="1:6" ht="18.75" x14ac:dyDescent="0.3">
      <c r="A5" s="102"/>
      <c r="B5" s="67"/>
      <c r="C5" s="67"/>
      <c r="D5" s="67"/>
      <c r="E5" s="91"/>
      <c r="F5" s="66"/>
    </row>
    <row r="6" spans="1:6" ht="18.75" x14ac:dyDescent="0.3">
      <c r="A6" s="102"/>
      <c r="B6" s="83"/>
      <c r="C6" s="83"/>
      <c r="D6" s="83"/>
      <c r="E6" s="165" t="s">
        <v>745</v>
      </c>
      <c r="F6" s="165"/>
    </row>
    <row r="7" spans="1:6" ht="18.75" x14ac:dyDescent="0.3">
      <c r="A7" s="160"/>
      <c r="B7" s="161"/>
      <c r="C7" s="161"/>
      <c r="D7" s="161"/>
      <c r="E7" s="167" t="s">
        <v>744</v>
      </c>
      <c r="F7" s="167"/>
    </row>
    <row r="8" spans="1:6" ht="18.75" x14ac:dyDescent="0.3">
      <c r="A8" s="166" t="s">
        <v>2</v>
      </c>
      <c r="B8" s="166"/>
      <c r="C8" s="166"/>
      <c r="D8" s="166"/>
      <c r="E8" s="166"/>
      <c r="F8" s="166"/>
    </row>
    <row r="9" spans="1:6" ht="18.75" x14ac:dyDescent="0.3">
      <c r="A9" s="164" t="s">
        <v>772</v>
      </c>
      <c r="B9" s="164"/>
      <c r="C9" s="164"/>
      <c r="D9" s="164"/>
      <c r="E9" s="166" t="s">
        <v>773</v>
      </c>
      <c r="F9" s="166"/>
    </row>
    <row r="10" spans="1:6" ht="18.75" x14ac:dyDescent="0.3">
      <c r="A10" s="66"/>
      <c r="B10" s="68"/>
      <c r="C10" s="68"/>
      <c r="D10" s="68"/>
      <c r="E10" s="103"/>
      <c r="F10" s="103"/>
    </row>
    <row r="11" spans="1:6" ht="18.75" x14ac:dyDescent="0.3">
      <c r="A11" s="69"/>
      <c r="B11" s="91"/>
      <c r="C11" s="91"/>
      <c r="D11" s="91"/>
      <c r="E11" s="162" t="s">
        <v>782</v>
      </c>
      <c r="F11" s="162"/>
    </row>
    <row r="12" spans="1:6" ht="18.75" x14ac:dyDescent="0.3">
      <c r="A12" s="69"/>
      <c r="B12" s="69"/>
      <c r="C12" s="162"/>
      <c r="D12" s="162"/>
      <c r="E12" s="91"/>
      <c r="F12" s="91"/>
    </row>
    <row r="13" spans="1:6" ht="18.75" x14ac:dyDescent="0.3">
      <c r="A13" s="163" t="s">
        <v>765</v>
      </c>
      <c r="B13" s="163"/>
      <c r="C13" s="163"/>
      <c r="D13" s="163"/>
      <c r="E13" s="163"/>
      <c r="F13" s="163"/>
    </row>
    <row r="14" spans="1:6" ht="59.25" customHeight="1" x14ac:dyDescent="0.3">
      <c r="A14" s="158" t="s">
        <v>783</v>
      </c>
      <c r="B14" s="158"/>
      <c r="C14" s="158"/>
      <c r="D14" s="158"/>
      <c r="E14" s="158"/>
      <c r="F14" s="158"/>
    </row>
    <row r="15" spans="1:6" ht="18.75" x14ac:dyDescent="0.3">
      <c r="A15" s="104"/>
      <c r="B15" s="104"/>
      <c r="C15" s="104"/>
      <c r="D15" s="104"/>
      <c r="E15" s="104"/>
      <c r="F15" s="104"/>
    </row>
    <row r="16" spans="1:6" ht="18.75" x14ac:dyDescent="0.3">
      <c r="A16" s="70"/>
      <c r="B16" s="68"/>
      <c r="C16" s="68"/>
      <c r="D16" s="105"/>
      <c r="E16" s="106"/>
      <c r="F16" s="106"/>
    </row>
    <row r="17" spans="1:6" ht="82.5" customHeight="1" x14ac:dyDescent="0.3">
      <c r="A17" s="107" t="s">
        <v>750</v>
      </c>
      <c r="B17" s="107" t="s">
        <v>751</v>
      </c>
      <c r="C17" s="108" t="s">
        <v>752</v>
      </c>
      <c r="D17" s="109" t="s">
        <v>753</v>
      </c>
      <c r="E17" s="108" t="s">
        <v>776</v>
      </c>
      <c r="F17" s="110" t="s">
        <v>777</v>
      </c>
    </row>
    <row r="18" spans="1:6" ht="18.75" x14ac:dyDescent="0.3">
      <c r="A18" s="111" t="s">
        <v>754</v>
      </c>
      <c r="B18" s="112">
        <f>B20</f>
        <v>2025.0040000000001</v>
      </c>
      <c r="C18" s="112">
        <f t="shared" ref="C18:E18" si="0">C20</f>
        <v>0</v>
      </c>
      <c r="D18" s="112">
        <f t="shared" si="0"/>
        <v>0</v>
      </c>
      <c r="E18" s="112">
        <f t="shared" si="0"/>
        <v>0</v>
      </c>
      <c r="F18" s="112">
        <f>F20</f>
        <v>2025.0040000000001</v>
      </c>
    </row>
    <row r="19" spans="1:6" ht="18.75" x14ac:dyDescent="0.3">
      <c r="A19" s="117"/>
      <c r="B19" s="74"/>
      <c r="C19" s="118"/>
      <c r="D19" s="118"/>
      <c r="E19" s="119"/>
      <c r="F19" s="120"/>
    </row>
    <row r="20" spans="1:6" ht="18.75" x14ac:dyDescent="0.3">
      <c r="A20" s="80" t="s">
        <v>755</v>
      </c>
      <c r="B20" s="81">
        <f>E20+F20</f>
        <v>2025.0040000000001</v>
      </c>
      <c r="C20" s="121"/>
      <c r="D20" s="121"/>
      <c r="E20" s="122"/>
      <c r="F20" s="100">
        <f>2145.588-120.584</f>
        <v>2025.0040000000001</v>
      </c>
    </row>
  </sheetData>
  <mergeCells count="14">
    <mergeCell ref="A13:F13"/>
    <mergeCell ref="A14:F14"/>
    <mergeCell ref="A9:D9"/>
    <mergeCell ref="E9:F9"/>
    <mergeCell ref="E11:F11"/>
    <mergeCell ref="C12:D12"/>
    <mergeCell ref="A8:F8"/>
    <mergeCell ref="A7:D7"/>
    <mergeCell ref="E7:F7"/>
    <mergeCell ref="E1:F1"/>
    <mergeCell ref="E2:F2"/>
    <mergeCell ref="E6:F6"/>
    <mergeCell ref="B3:F3"/>
    <mergeCell ref="A4:F4"/>
  </mergeCells>
  <pageMargins left="0.7" right="0.7" top="0.75" bottom="0.75" header="0.3" footer="0.3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view="pageBreakPreview" zoomScale="60" zoomScaleNormal="100" workbookViewId="0">
      <selection activeCell="F24" sqref="F24"/>
    </sheetView>
  </sheetViews>
  <sheetFormatPr defaultRowHeight="15" x14ac:dyDescent="0.25"/>
  <cols>
    <col min="1" max="1" width="51.5703125" customWidth="1"/>
    <col min="2" max="2" width="18.42578125" customWidth="1"/>
    <col min="3" max="4" width="0" hidden="1" customWidth="1"/>
    <col min="5" max="5" width="26" customWidth="1"/>
    <col min="6" max="6" width="27" customWidth="1"/>
  </cols>
  <sheetData>
    <row r="1" spans="1:6" ht="18.75" x14ac:dyDescent="0.3">
      <c r="A1" s="102"/>
      <c r="B1" s="83"/>
      <c r="C1" s="83"/>
      <c r="D1" s="83"/>
      <c r="E1" s="165" t="s">
        <v>797</v>
      </c>
      <c r="F1" s="165"/>
    </row>
    <row r="2" spans="1:6" ht="18.75" x14ac:dyDescent="0.3">
      <c r="A2" s="102"/>
      <c r="B2" s="83"/>
      <c r="C2" s="83"/>
      <c r="D2" s="83"/>
      <c r="E2" s="165" t="s">
        <v>744</v>
      </c>
      <c r="F2" s="165"/>
    </row>
    <row r="3" spans="1:6" ht="18.75" customHeight="1" x14ac:dyDescent="0.3">
      <c r="A3" s="102"/>
      <c r="B3" s="165" t="s">
        <v>2</v>
      </c>
      <c r="C3" s="165"/>
      <c r="D3" s="165"/>
      <c r="E3" s="165"/>
      <c r="F3" s="165"/>
    </row>
    <row r="4" spans="1:6" ht="18.75" x14ac:dyDescent="0.3">
      <c r="A4" s="166" t="str">
        <f>'Прил. 1 (Доходы)'!A4:C4</f>
        <v>от 18 декабря 2019 г. № 51</v>
      </c>
      <c r="B4" s="166"/>
      <c r="C4" s="166"/>
      <c r="D4" s="166"/>
      <c r="E4" s="166"/>
      <c r="F4" s="166"/>
    </row>
    <row r="5" spans="1:6" ht="18.75" x14ac:dyDescent="0.3">
      <c r="A5" s="102"/>
      <c r="B5" s="67"/>
      <c r="C5" s="67"/>
      <c r="D5" s="67"/>
      <c r="E5" s="91"/>
      <c r="F5" s="66"/>
    </row>
    <row r="6" spans="1:6" ht="18.75" x14ac:dyDescent="0.3">
      <c r="A6" s="102"/>
      <c r="B6" s="83"/>
      <c r="C6" s="83"/>
      <c r="D6" s="83"/>
      <c r="E6" s="165" t="s">
        <v>745</v>
      </c>
      <c r="F6" s="165"/>
    </row>
    <row r="7" spans="1:6" ht="18.75" x14ac:dyDescent="0.3">
      <c r="A7" s="160"/>
      <c r="B7" s="161"/>
      <c r="C7" s="161"/>
      <c r="D7" s="161"/>
      <c r="E7" s="167" t="s">
        <v>744</v>
      </c>
      <c r="F7" s="167"/>
    </row>
    <row r="8" spans="1:6" ht="18.75" x14ac:dyDescent="0.3">
      <c r="A8" s="160"/>
      <c r="B8" s="161"/>
      <c r="C8" s="161"/>
      <c r="D8" s="161"/>
      <c r="E8" s="166" t="s">
        <v>2</v>
      </c>
      <c r="F8" s="166"/>
    </row>
    <row r="9" spans="1:6" ht="18.75" x14ac:dyDescent="0.3">
      <c r="A9" s="164" t="s">
        <v>772</v>
      </c>
      <c r="B9" s="164"/>
      <c r="C9" s="164"/>
      <c r="D9" s="164"/>
      <c r="E9" s="166" t="s">
        <v>773</v>
      </c>
      <c r="F9" s="166"/>
    </row>
    <row r="10" spans="1:6" ht="18.75" x14ac:dyDescent="0.3">
      <c r="A10" s="66"/>
      <c r="B10" s="68"/>
      <c r="C10" s="68"/>
      <c r="D10" s="68"/>
      <c r="E10" s="103"/>
      <c r="F10" s="103"/>
    </row>
    <row r="11" spans="1:6" ht="18.75" x14ac:dyDescent="0.3">
      <c r="A11" s="69"/>
      <c r="B11" s="91"/>
      <c r="C11" s="91"/>
      <c r="D11" s="91"/>
      <c r="E11" s="162" t="s">
        <v>784</v>
      </c>
      <c r="F11" s="162"/>
    </row>
    <row r="12" spans="1:6" ht="18.75" x14ac:dyDescent="0.3">
      <c r="A12" s="69"/>
      <c r="B12" s="69"/>
      <c r="C12" s="162"/>
      <c r="D12" s="162"/>
      <c r="E12" s="91"/>
      <c r="F12" s="91"/>
    </row>
    <row r="13" spans="1:6" ht="18.75" x14ac:dyDescent="0.3">
      <c r="A13" s="163" t="s">
        <v>765</v>
      </c>
      <c r="B13" s="163"/>
      <c r="C13" s="163"/>
      <c r="D13" s="163"/>
      <c r="E13" s="163"/>
      <c r="F13" s="163"/>
    </row>
    <row r="14" spans="1:6" ht="83.25" customHeight="1" x14ac:dyDescent="0.3">
      <c r="A14" s="158" t="s">
        <v>785</v>
      </c>
      <c r="B14" s="158"/>
      <c r="C14" s="158"/>
      <c r="D14" s="158"/>
      <c r="E14" s="158"/>
      <c r="F14" s="158"/>
    </row>
    <row r="15" spans="1:6" ht="18.75" x14ac:dyDescent="0.3">
      <c r="A15" s="104"/>
      <c r="B15" s="104"/>
      <c r="C15" s="104"/>
      <c r="D15" s="104"/>
      <c r="E15" s="104"/>
      <c r="F15" s="104"/>
    </row>
    <row r="16" spans="1:6" ht="18.75" x14ac:dyDescent="0.3">
      <c r="A16" s="70"/>
      <c r="B16" s="68"/>
      <c r="C16" s="68"/>
      <c r="D16" s="105"/>
      <c r="E16" s="106"/>
      <c r="F16" s="106"/>
    </row>
    <row r="17" spans="1:6" ht="84" customHeight="1" x14ac:dyDescent="0.3">
      <c r="A17" s="107" t="s">
        <v>750</v>
      </c>
      <c r="B17" s="107" t="s">
        <v>751</v>
      </c>
      <c r="C17" s="108" t="s">
        <v>752</v>
      </c>
      <c r="D17" s="109" t="s">
        <v>753</v>
      </c>
      <c r="E17" s="108" t="s">
        <v>776</v>
      </c>
      <c r="F17" s="110" t="s">
        <v>777</v>
      </c>
    </row>
    <row r="18" spans="1:6" ht="18.75" x14ac:dyDescent="0.3">
      <c r="A18" s="111" t="s">
        <v>754</v>
      </c>
      <c r="B18" s="112">
        <f>B20</f>
        <v>279.50700000000001</v>
      </c>
      <c r="C18" s="112">
        <f t="shared" ref="C18:E18" si="0">C20</f>
        <v>0</v>
      </c>
      <c r="D18" s="112">
        <f t="shared" si="0"/>
        <v>0</v>
      </c>
      <c r="E18" s="112">
        <f t="shared" si="0"/>
        <v>0</v>
      </c>
      <c r="F18" s="112">
        <f>F20</f>
        <v>279.50700000000001</v>
      </c>
    </row>
    <row r="19" spans="1:6" ht="18.75" x14ac:dyDescent="0.3">
      <c r="A19" s="117"/>
      <c r="B19" s="74"/>
      <c r="C19" s="118"/>
      <c r="D19" s="118"/>
      <c r="E19" s="119"/>
      <c r="F19" s="120"/>
    </row>
    <row r="20" spans="1:6" ht="18.75" x14ac:dyDescent="0.3">
      <c r="A20" s="80" t="s">
        <v>755</v>
      </c>
      <c r="B20" s="81">
        <f>E20+F20</f>
        <v>279.50700000000001</v>
      </c>
      <c r="C20" s="121"/>
      <c r="D20" s="121"/>
      <c r="E20" s="122"/>
      <c r="F20" s="100">
        <f>400-120.493</f>
        <v>279.50700000000001</v>
      </c>
    </row>
  </sheetData>
  <mergeCells count="15">
    <mergeCell ref="A13:F13"/>
    <mergeCell ref="A14:F14"/>
    <mergeCell ref="A8:D8"/>
    <mergeCell ref="E8:F8"/>
    <mergeCell ref="A9:D9"/>
    <mergeCell ref="E9:F9"/>
    <mergeCell ref="E11:F11"/>
    <mergeCell ref="C12:D12"/>
    <mergeCell ref="A7:D7"/>
    <mergeCell ref="E7:F7"/>
    <mergeCell ref="E1:F1"/>
    <mergeCell ref="E2:F2"/>
    <mergeCell ref="E6:F6"/>
    <mergeCell ref="B3:F3"/>
    <mergeCell ref="A4:F4"/>
  </mergeCells>
  <pageMargins left="0.7" right="0.7" top="0.75" bottom="0.75" header="0.3" footer="0.3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view="pageBreakPreview" zoomScale="60" zoomScaleNormal="100" workbookViewId="0">
      <selection activeCell="E25" sqref="E25"/>
    </sheetView>
  </sheetViews>
  <sheetFormatPr defaultRowHeight="15" x14ac:dyDescent="0.25"/>
  <cols>
    <col min="1" max="1" width="51" customWidth="1"/>
    <col min="2" max="2" width="15.28515625" customWidth="1"/>
    <col min="3" max="4" width="0" hidden="1" customWidth="1"/>
    <col min="5" max="5" width="22.5703125" customWidth="1"/>
    <col min="6" max="6" width="34.28515625" customWidth="1"/>
  </cols>
  <sheetData>
    <row r="1" spans="1:6" ht="18.75" x14ac:dyDescent="0.3">
      <c r="A1" s="102"/>
      <c r="B1" s="83"/>
      <c r="C1" s="83"/>
      <c r="D1" s="83"/>
      <c r="E1" s="165" t="s">
        <v>798</v>
      </c>
      <c r="F1" s="165"/>
    </row>
    <row r="2" spans="1:6" ht="18.75" x14ac:dyDescent="0.3">
      <c r="A2" s="102"/>
      <c r="B2" s="83"/>
      <c r="C2" s="83"/>
      <c r="D2" s="83"/>
      <c r="E2" s="165" t="s">
        <v>744</v>
      </c>
      <c r="F2" s="165"/>
    </row>
    <row r="3" spans="1:6" ht="18.75" x14ac:dyDescent="0.3">
      <c r="A3" s="102"/>
      <c r="B3" s="83"/>
      <c r="C3" s="83"/>
      <c r="D3" s="83"/>
      <c r="E3" s="165" t="s">
        <v>2</v>
      </c>
      <c r="F3" s="165"/>
    </row>
    <row r="4" spans="1:6" ht="18.75" x14ac:dyDescent="0.3">
      <c r="A4" s="166" t="str">
        <f>'Прил. таб. 7'!A4:F4</f>
        <v>от 18 декабря 2019 г. № 51</v>
      </c>
      <c r="B4" s="166"/>
      <c r="C4" s="166"/>
      <c r="D4" s="166"/>
      <c r="E4" s="166"/>
      <c r="F4" s="166"/>
    </row>
    <row r="5" spans="1:6" ht="18.75" x14ac:dyDescent="0.3">
      <c r="A5" s="102"/>
      <c r="B5" s="67"/>
      <c r="C5" s="67"/>
      <c r="D5" s="67"/>
      <c r="E5" s="91"/>
      <c r="F5" s="66"/>
    </row>
    <row r="6" spans="1:6" ht="18.75" x14ac:dyDescent="0.3">
      <c r="A6" s="102"/>
      <c r="B6" s="83"/>
      <c r="C6" s="83"/>
      <c r="D6" s="83"/>
      <c r="E6" s="165" t="s">
        <v>745</v>
      </c>
      <c r="F6" s="165"/>
    </row>
    <row r="7" spans="1:6" ht="18.75" x14ac:dyDescent="0.3">
      <c r="A7" s="160"/>
      <c r="B7" s="161"/>
      <c r="C7" s="161"/>
      <c r="D7" s="161"/>
      <c r="E7" s="167" t="s">
        <v>744</v>
      </c>
      <c r="F7" s="167"/>
    </row>
    <row r="8" spans="1:6" ht="18.75" x14ac:dyDescent="0.3">
      <c r="A8" s="160"/>
      <c r="B8" s="161"/>
      <c r="C8" s="161"/>
      <c r="D8" s="161"/>
      <c r="E8" s="166" t="s">
        <v>2</v>
      </c>
      <c r="F8" s="166"/>
    </row>
    <row r="9" spans="1:6" ht="18.75" x14ac:dyDescent="0.3">
      <c r="A9" s="164" t="s">
        <v>772</v>
      </c>
      <c r="B9" s="164"/>
      <c r="C9" s="164"/>
      <c r="D9" s="164"/>
      <c r="E9" s="166" t="s">
        <v>773</v>
      </c>
      <c r="F9" s="166"/>
    </row>
    <row r="10" spans="1:6" ht="18.75" x14ac:dyDescent="0.3">
      <c r="A10" s="66"/>
      <c r="B10" s="68"/>
      <c r="C10" s="68"/>
      <c r="D10" s="68"/>
      <c r="E10" s="103"/>
      <c r="F10" s="103"/>
    </row>
    <row r="11" spans="1:6" ht="18.75" x14ac:dyDescent="0.3">
      <c r="A11" s="69"/>
      <c r="B11" s="91"/>
      <c r="C11" s="91"/>
      <c r="D11" s="91"/>
      <c r="E11" s="162" t="s">
        <v>786</v>
      </c>
      <c r="F11" s="162"/>
    </row>
    <row r="12" spans="1:6" ht="18.75" x14ac:dyDescent="0.3">
      <c r="A12" s="69"/>
      <c r="B12" s="69"/>
      <c r="C12" s="162"/>
      <c r="D12" s="162"/>
      <c r="E12" s="91"/>
      <c r="F12" s="91"/>
    </row>
    <row r="13" spans="1:6" ht="18.75" x14ac:dyDescent="0.3">
      <c r="A13" s="163" t="s">
        <v>765</v>
      </c>
      <c r="B13" s="163"/>
      <c r="C13" s="163"/>
      <c r="D13" s="163"/>
      <c r="E13" s="163"/>
      <c r="F13" s="163"/>
    </row>
    <row r="14" spans="1:6" ht="42" customHeight="1" x14ac:dyDescent="0.3">
      <c r="A14" s="158" t="s">
        <v>787</v>
      </c>
      <c r="B14" s="158"/>
      <c r="C14" s="158"/>
      <c r="D14" s="158"/>
      <c r="E14" s="158"/>
      <c r="F14" s="158"/>
    </row>
    <row r="15" spans="1:6" ht="18.75" x14ac:dyDescent="0.3">
      <c r="A15" s="104"/>
      <c r="B15" s="104"/>
      <c r="C15" s="104"/>
      <c r="D15" s="104"/>
      <c r="E15" s="104"/>
      <c r="F15" s="104"/>
    </row>
    <row r="16" spans="1:6" ht="18" x14ac:dyDescent="0.25">
      <c r="A16" s="168" t="s">
        <v>750</v>
      </c>
      <c r="B16" s="168" t="s">
        <v>751</v>
      </c>
      <c r="C16" s="123"/>
      <c r="D16" s="123"/>
      <c r="E16" s="169" t="s">
        <v>777</v>
      </c>
      <c r="F16" s="169"/>
    </row>
    <row r="17" spans="1:6" ht="107.25" customHeight="1" x14ac:dyDescent="0.3">
      <c r="A17" s="168"/>
      <c r="B17" s="168"/>
      <c r="C17" s="72" t="s">
        <v>752</v>
      </c>
      <c r="D17" s="72" t="s">
        <v>753</v>
      </c>
      <c r="E17" s="124" t="s">
        <v>360</v>
      </c>
      <c r="F17" s="125" t="s">
        <v>356</v>
      </c>
    </row>
    <row r="18" spans="1:6" ht="18.75" x14ac:dyDescent="0.3">
      <c r="A18" s="111" t="s">
        <v>754</v>
      </c>
      <c r="B18" s="112">
        <f t="shared" ref="B18:D18" si="0">B19+B20</f>
        <v>160.215</v>
      </c>
      <c r="C18" s="112">
        <f t="shared" si="0"/>
        <v>0</v>
      </c>
      <c r="D18" s="112">
        <f t="shared" si="0"/>
        <v>0</v>
      </c>
      <c r="E18" s="112">
        <f>E19+E20</f>
        <v>159.999</v>
      </c>
      <c r="F18" s="112">
        <f>F19+F20</f>
        <v>0.216</v>
      </c>
    </row>
    <row r="19" spans="1:6" ht="18.75" x14ac:dyDescent="0.3">
      <c r="A19" s="117" t="s">
        <v>761</v>
      </c>
      <c r="B19" s="74">
        <f>E19+F19</f>
        <v>60.216000000000001</v>
      </c>
      <c r="C19" s="118"/>
      <c r="D19" s="118"/>
      <c r="E19" s="126">
        <f>1000-940</f>
        <v>60</v>
      </c>
      <c r="F19" s="120">
        <v>0.216</v>
      </c>
    </row>
    <row r="20" spans="1:6" ht="18.75" x14ac:dyDescent="0.3">
      <c r="A20" s="80" t="s">
        <v>755</v>
      </c>
      <c r="B20" s="81">
        <f>E20+F20</f>
        <v>99.998999999999995</v>
      </c>
      <c r="C20" s="121"/>
      <c r="D20" s="121"/>
      <c r="E20" s="122">
        <f>100-0.001</f>
        <v>99.998999999999995</v>
      </c>
      <c r="F20" s="100"/>
    </row>
  </sheetData>
  <mergeCells count="18">
    <mergeCell ref="A13:F13"/>
    <mergeCell ref="A14:F14"/>
    <mergeCell ref="A16:A17"/>
    <mergeCell ref="B16:B17"/>
    <mergeCell ref="E16:F16"/>
    <mergeCell ref="C12:D12"/>
    <mergeCell ref="E1:F1"/>
    <mergeCell ref="E2:F2"/>
    <mergeCell ref="E3:F3"/>
    <mergeCell ref="E6:F6"/>
    <mergeCell ref="A7:D7"/>
    <mergeCell ref="E7:F7"/>
    <mergeCell ref="A8:D8"/>
    <mergeCell ref="E8:F8"/>
    <mergeCell ref="A9:D9"/>
    <mergeCell ref="E9:F9"/>
    <mergeCell ref="E11:F11"/>
    <mergeCell ref="A4:F4"/>
  </mergeCells>
  <pageMargins left="0.7" right="0.7" top="0.75" bottom="0.75" header="0.3" footer="0.3"/>
  <pageSetup paperSize="9" scale="6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view="pageBreakPreview" zoomScale="60" zoomScaleNormal="100" workbookViewId="0">
      <selection activeCell="A14" sqref="A14:F14"/>
    </sheetView>
  </sheetViews>
  <sheetFormatPr defaultRowHeight="15" x14ac:dyDescent="0.25"/>
  <cols>
    <col min="1" max="1" width="53.85546875" customWidth="1"/>
    <col min="2" max="2" width="15.28515625" customWidth="1"/>
    <col min="3" max="4" width="0" hidden="1" customWidth="1"/>
    <col min="5" max="5" width="24.5703125" customWidth="1"/>
    <col min="6" max="6" width="34.28515625" customWidth="1"/>
  </cols>
  <sheetData>
    <row r="1" spans="1:6" ht="18.75" x14ac:dyDescent="0.3">
      <c r="A1" s="102"/>
      <c r="B1" s="83"/>
      <c r="C1" s="83"/>
      <c r="D1" s="83"/>
      <c r="E1" s="165" t="s">
        <v>799</v>
      </c>
      <c r="F1" s="165"/>
    </row>
    <row r="2" spans="1:6" ht="18.75" x14ac:dyDescent="0.3">
      <c r="A2" s="102"/>
      <c r="B2" s="83"/>
      <c r="C2" s="83"/>
      <c r="D2" s="83"/>
      <c r="E2" s="165" t="s">
        <v>744</v>
      </c>
      <c r="F2" s="165"/>
    </row>
    <row r="3" spans="1:6" ht="18.75" x14ac:dyDescent="0.3">
      <c r="A3" s="102"/>
      <c r="B3" s="83"/>
      <c r="C3" s="83"/>
      <c r="D3" s="83"/>
      <c r="E3" s="165" t="s">
        <v>2</v>
      </c>
      <c r="F3" s="165"/>
    </row>
    <row r="4" spans="1:6" ht="18.75" x14ac:dyDescent="0.3">
      <c r="A4" s="166" t="str">
        <f>'Прил. 4 (Источники)'!A4:I4</f>
        <v>от 18 декабря 2019 г. № 51</v>
      </c>
      <c r="B4" s="166"/>
      <c r="C4" s="166"/>
      <c r="D4" s="166"/>
      <c r="E4" s="166"/>
      <c r="F4" s="166"/>
    </row>
    <row r="5" spans="1:6" ht="18.75" x14ac:dyDescent="0.3">
      <c r="A5" s="102"/>
      <c r="B5" s="67"/>
      <c r="C5" s="67"/>
      <c r="D5" s="67"/>
      <c r="E5" s="91"/>
      <c r="F5" s="66"/>
    </row>
    <row r="6" spans="1:6" ht="18.75" x14ac:dyDescent="0.3">
      <c r="A6" s="102"/>
      <c r="B6" s="83"/>
      <c r="C6" s="83"/>
      <c r="D6" s="83"/>
      <c r="E6" s="165" t="s">
        <v>745</v>
      </c>
      <c r="F6" s="165"/>
    </row>
    <row r="7" spans="1:6" ht="18.75" x14ac:dyDescent="0.3">
      <c r="A7" s="160"/>
      <c r="B7" s="161"/>
      <c r="C7" s="161"/>
      <c r="D7" s="161"/>
      <c r="E7" s="167" t="s">
        <v>744</v>
      </c>
      <c r="F7" s="167"/>
    </row>
    <row r="8" spans="1:6" ht="18.75" x14ac:dyDescent="0.3">
      <c r="A8" s="160"/>
      <c r="B8" s="161"/>
      <c r="C8" s="161"/>
      <c r="D8" s="161"/>
      <c r="E8" s="166" t="s">
        <v>2</v>
      </c>
      <c r="F8" s="166"/>
    </row>
    <row r="9" spans="1:6" ht="18.75" x14ac:dyDescent="0.3">
      <c r="A9" s="164" t="s">
        <v>772</v>
      </c>
      <c r="B9" s="164"/>
      <c r="C9" s="164"/>
      <c r="D9" s="164"/>
      <c r="E9" s="166" t="s">
        <v>773</v>
      </c>
      <c r="F9" s="166"/>
    </row>
    <row r="10" spans="1:6" ht="18.75" x14ac:dyDescent="0.3">
      <c r="A10" s="66"/>
      <c r="B10" s="68"/>
      <c r="C10" s="68"/>
      <c r="D10" s="68"/>
      <c r="E10" s="103"/>
      <c r="F10" s="103"/>
    </row>
    <row r="11" spans="1:6" ht="18.75" x14ac:dyDescent="0.3">
      <c r="A11" s="69"/>
      <c r="B11" s="91"/>
      <c r="C11" s="91"/>
      <c r="D11" s="91"/>
      <c r="E11" s="162" t="s">
        <v>788</v>
      </c>
      <c r="F11" s="162"/>
    </row>
    <row r="12" spans="1:6" ht="18.75" x14ac:dyDescent="0.3">
      <c r="A12" s="69"/>
      <c r="B12" s="69"/>
      <c r="C12" s="162"/>
      <c r="D12" s="162"/>
      <c r="E12" s="91"/>
      <c r="F12" s="91"/>
    </row>
    <row r="13" spans="1:6" ht="18.75" x14ac:dyDescent="0.3">
      <c r="A13" s="163" t="s">
        <v>765</v>
      </c>
      <c r="B13" s="163"/>
      <c r="C13" s="163"/>
      <c r="D13" s="163"/>
      <c r="E13" s="163"/>
      <c r="F13" s="163"/>
    </row>
    <row r="14" spans="1:6" ht="63" customHeight="1" x14ac:dyDescent="0.3">
      <c r="A14" s="158" t="s">
        <v>789</v>
      </c>
      <c r="B14" s="158"/>
      <c r="C14" s="158"/>
      <c r="D14" s="158"/>
      <c r="E14" s="158"/>
      <c r="F14" s="158"/>
    </row>
    <row r="15" spans="1:6" ht="18.75" x14ac:dyDescent="0.3">
      <c r="A15" s="104"/>
      <c r="B15" s="104"/>
      <c r="C15" s="104"/>
      <c r="D15" s="104"/>
      <c r="E15" s="104"/>
      <c r="F15" s="104"/>
    </row>
    <row r="16" spans="1:6" ht="84" customHeight="1" x14ac:dyDescent="0.3">
      <c r="A16" s="107" t="s">
        <v>750</v>
      </c>
      <c r="B16" s="107" t="s">
        <v>751</v>
      </c>
      <c r="C16" s="108" t="s">
        <v>752</v>
      </c>
      <c r="D16" s="109" t="s">
        <v>753</v>
      </c>
      <c r="E16" s="108" t="s">
        <v>776</v>
      </c>
      <c r="F16" s="110" t="s">
        <v>777</v>
      </c>
    </row>
    <row r="17" spans="1:6" ht="18.75" x14ac:dyDescent="0.3">
      <c r="A17" s="111" t="s">
        <v>754</v>
      </c>
      <c r="B17" s="112">
        <f>B19+B20</f>
        <v>25</v>
      </c>
      <c r="C17" s="112">
        <f t="shared" ref="C17:E17" si="0">C19+C20</f>
        <v>0</v>
      </c>
      <c r="D17" s="112">
        <f t="shared" si="0"/>
        <v>0</v>
      </c>
      <c r="E17" s="112">
        <f t="shared" si="0"/>
        <v>0</v>
      </c>
      <c r="F17" s="112">
        <f>F19+F20</f>
        <v>25</v>
      </c>
    </row>
    <row r="18" spans="1:6" ht="18.75" x14ac:dyDescent="0.3">
      <c r="A18" s="117"/>
      <c r="B18" s="74"/>
      <c r="C18" s="118"/>
      <c r="D18" s="118"/>
      <c r="E18" s="119"/>
      <c r="F18" s="120"/>
    </row>
    <row r="19" spans="1:6" ht="18.75" x14ac:dyDescent="0.3">
      <c r="A19" s="80" t="s">
        <v>763</v>
      </c>
      <c r="B19" s="81">
        <f>E19+F19</f>
        <v>0</v>
      </c>
      <c r="C19" s="121"/>
      <c r="D19" s="121"/>
      <c r="E19" s="122"/>
      <c r="F19" s="100">
        <v>0</v>
      </c>
    </row>
    <row r="20" spans="1:6" ht="18.75" x14ac:dyDescent="0.3">
      <c r="A20" s="80" t="s">
        <v>760</v>
      </c>
      <c r="B20" s="81">
        <f>E20+F20</f>
        <v>25</v>
      </c>
      <c r="C20" s="121"/>
      <c r="D20" s="121"/>
      <c r="E20" s="122"/>
      <c r="F20" s="100">
        <v>25</v>
      </c>
    </row>
  </sheetData>
  <mergeCells count="15">
    <mergeCell ref="A13:F13"/>
    <mergeCell ref="A14:F14"/>
    <mergeCell ref="A8:D8"/>
    <mergeCell ref="E8:F8"/>
    <mergeCell ref="A9:D9"/>
    <mergeCell ref="E9:F9"/>
    <mergeCell ref="E11:F11"/>
    <mergeCell ref="C12:D12"/>
    <mergeCell ref="A7:D7"/>
    <mergeCell ref="E7:F7"/>
    <mergeCell ref="E1:F1"/>
    <mergeCell ref="E2:F2"/>
    <mergeCell ref="E3:F3"/>
    <mergeCell ref="E6:F6"/>
    <mergeCell ref="A4:F4"/>
  </mergeCells>
  <pageMargins left="0.7" right="0.7" top="0.75" bottom="0.75" header="0.3" footer="0.3"/>
  <pageSetup paperSize="9"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9"/>
  <sheetViews>
    <sheetView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53.140625" customWidth="1"/>
    <col min="2" max="2" width="15.28515625" customWidth="1"/>
    <col min="3" max="4" width="0" hidden="1" customWidth="1"/>
    <col min="5" max="5" width="25.7109375" customWidth="1"/>
    <col min="6" max="6" width="34.28515625" customWidth="1"/>
  </cols>
  <sheetData>
    <row r="1" spans="1:6" ht="18.75" x14ac:dyDescent="0.3">
      <c r="A1" s="102"/>
      <c r="B1" s="83"/>
      <c r="C1" s="83"/>
      <c r="D1" s="83"/>
      <c r="E1" s="165" t="s">
        <v>800</v>
      </c>
      <c r="F1" s="165"/>
    </row>
    <row r="2" spans="1:6" ht="18.75" x14ac:dyDescent="0.3">
      <c r="A2" s="102"/>
      <c r="B2" s="83"/>
      <c r="C2" s="83"/>
      <c r="D2" s="83"/>
      <c r="E2" s="165" t="s">
        <v>744</v>
      </c>
      <c r="F2" s="165"/>
    </row>
    <row r="3" spans="1:6" ht="18.75" x14ac:dyDescent="0.3">
      <c r="A3" s="102"/>
      <c r="B3" s="83"/>
      <c r="C3" s="83"/>
      <c r="D3" s="83"/>
      <c r="E3" s="165" t="s">
        <v>2</v>
      </c>
      <c r="F3" s="165"/>
    </row>
    <row r="4" spans="1:6" ht="18.75" x14ac:dyDescent="0.3">
      <c r="A4" s="166" t="str">
        <f>'Прил. таб. 16'!A4:F4</f>
        <v>от 18 декабря 2019 г. № 51</v>
      </c>
      <c r="B4" s="166"/>
      <c r="C4" s="166"/>
      <c r="D4" s="166"/>
      <c r="E4" s="166"/>
      <c r="F4" s="166"/>
    </row>
    <row r="5" spans="1:6" ht="18.75" x14ac:dyDescent="0.3">
      <c r="A5" s="102"/>
      <c r="B5" s="67"/>
      <c r="C5" s="67"/>
      <c r="D5" s="67"/>
      <c r="E5" s="91"/>
      <c r="F5" s="66"/>
    </row>
    <row r="6" spans="1:6" ht="18.75" x14ac:dyDescent="0.3">
      <c r="A6" s="102"/>
      <c r="B6" s="83"/>
      <c r="C6" s="83"/>
      <c r="D6" s="83"/>
      <c r="E6" s="165" t="s">
        <v>745</v>
      </c>
      <c r="F6" s="165"/>
    </row>
    <row r="7" spans="1:6" ht="18.75" x14ac:dyDescent="0.3">
      <c r="A7" s="160"/>
      <c r="B7" s="161"/>
      <c r="C7" s="161"/>
      <c r="D7" s="161"/>
      <c r="E7" s="167" t="s">
        <v>744</v>
      </c>
      <c r="F7" s="167"/>
    </row>
    <row r="8" spans="1:6" ht="18.75" x14ac:dyDescent="0.3">
      <c r="A8" s="160"/>
      <c r="B8" s="161"/>
      <c r="C8" s="161"/>
      <c r="D8" s="161"/>
      <c r="E8" s="166" t="s">
        <v>2</v>
      </c>
      <c r="F8" s="166"/>
    </row>
    <row r="9" spans="1:6" ht="18.75" x14ac:dyDescent="0.3">
      <c r="A9" s="164" t="s">
        <v>772</v>
      </c>
      <c r="B9" s="164"/>
      <c r="C9" s="164"/>
      <c r="D9" s="164"/>
      <c r="E9" s="166" t="s">
        <v>773</v>
      </c>
      <c r="F9" s="166"/>
    </row>
    <row r="10" spans="1:6" ht="18.75" x14ac:dyDescent="0.3">
      <c r="A10" s="66"/>
      <c r="B10" s="68"/>
      <c r="C10" s="68"/>
      <c r="D10" s="68"/>
      <c r="E10" s="103"/>
      <c r="F10" s="103"/>
    </row>
    <row r="11" spans="1:6" ht="18.75" x14ac:dyDescent="0.3">
      <c r="A11" s="69"/>
      <c r="B11" s="91"/>
      <c r="C11" s="91"/>
      <c r="D11" s="91"/>
      <c r="E11" s="162" t="s">
        <v>790</v>
      </c>
      <c r="F11" s="162"/>
    </row>
    <row r="12" spans="1:6" ht="18.75" x14ac:dyDescent="0.3">
      <c r="A12" s="69"/>
      <c r="B12" s="69"/>
      <c r="C12" s="162"/>
      <c r="D12" s="162"/>
      <c r="E12" s="91"/>
      <c r="F12" s="91"/>
    </row>
    <row r="13" spans="1:6" ht="18.75" x14ac:dyDescent="0.3">
      <c r="A13" s="163" t="s">
        <v>765</v>
      </c>
      <c r="B13" s="163"/>
      <c r="C13" s="163"/>
      <c r="D13" s="163"/>
      <c r="E13" s="163"/>
      <c r="F13" s="163"/>
    </row>
    <row r="14" spans="1:6" ht="40.5" customHeight="1" x14ac:dyDescent="0.3">
      <c r="A14" s="158" t="s">
        <v>791</v>
      </c>
      <c r="B14" s="158"/>
      <c r="C14" s="158"/>
      <c r="D14" s="158"/>
      <c r="E14" s="158"/>
      <c r="F14" s="158"/>
    </row>
    <row r="15" spans="1:6" ht="18.75" x14ac:dyDescent="0.3">
      <c r="A15" s="104"/>
      <c r="B15" s="104"/>
      <c r="C15" s="104"/>
      <c r="D15" s="104"/>
      <c r="E15" s="104"/>
      <c r="F15" s="104"/>
    </row>
    <row r="16" spans="1:6" ht="102" customHeight="1" x14ac:dyDescent="0.3">
      <c r="A16" s="107" t="s">
        <v>750</v>
      </c>
      <c r="B16" s="107" t="s">
        <v>751</v>
      </c>
      <c r="C16" s="108" t="s">
        <v>752</v>
      </c>
      <c r="D16" s="109" t="s">
        <v>753</v>
      </c>
      <c r="E16" s="108" t="s">
        <v>776</v>
      </c>
      <c r="F16" s="110" t="s">
        <v>777</v>
      </c>
    </row>
    <row r="17" spans="1:6" ht="18.75" x14ac:dyDescent="0.3">
      <c r="A17" s="111" t="s">
        <v>754</v>
      </c>
      <c r="B17" s="112">
        <f>B19</f>
        <v>298.5</v>
      </c>
      <c r="C17" s="112">
        <f t="shared" ref="C17:F17" si="0">C19</f>
        <v>0</v>
      </c>
      <c r="D17" s="112">
        <f t="shared" si="0"/>
        <v>0</v>
      </c>
      <c r="E17" s="112">
        <f t="shared" si="0"/>
        <v>0</v>
      </c>
      <c r="F17" s="112">
        <f t="shared" si="0"/>
        <v>298.5</v>
      </c>
    </row>
    <row r="18" spans="1:6" ht="18.75" x14ac:dyDescent="0.3">
      <c r="A18" s="117"/>
      <c r="B18" s="74"/>
      <c r="C18" s="118"/>
      <c r="D18" s="118"/>
      <c r="E18" s="119"/>
      <c r="F18" s="120"/>
    </row>
    <row r="19" spans="1:6" ht="18.75" x14ac:dyDescent="0.3">
      <c r="A19" s="80" t="s">
        <v>755</v>
      </c>
      <c r="B19" s="81">
        <f>E19+F19</f>
        <v>298.5</v>
      </c>
      <c r="C19" s="121"/>
      <c r="D19" s="121"/>
      <c r="E19" s="122"/>
      <c r="F19" s="100">
        <f>300-1.5</f>
        <v>298.5</v>
      </c>
    </row>
  </sheetData>
  <mergeCells count="15">
    <mergeCell ref="A13:F13"/>
    <mergeCell ref="A14:F14"/>
    <mergeCell ref="A8:D8"/>
    <mergeCell ref="E8:F8"/>
    <mergeCell ref="A9:D9"/>
    <mergeCell ref="E9:F9"/>
    <mergeCell ref="E11:F11"/>
    <mergeCell ref="C12:D12"/>
    <mergeCell ref="A7:D7"/>
    <mergeCell ref="E7:F7"/>
    <mergeCell ref="E1:F1"/>
    <mergeCell ref="E2:F2"/>
    <mergeCell ref="E3:F3"/>
    <mergeCell ref="E6:F6"/>
    <mergeCell ref="A4:F4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32"/>
  <sheetViews>
    <sheetView view="pageBreakPreview" topLeftCell="A289" zoomScale="60" zoomScaleNormal="100" workbookViewId="0">
      <selection activeCell="E310" sqref="E310"/>
    </sheetView>
  </sheetViews>
  <sheetFormatPr defaultRowHeight="15" x14ac:dyDescent="0.25"/>
  <cols>
    <col min="1" max="1" width="92.5703125" customWidth="1"/>
    <col min="2" max="2" width="16.7109375" customWidth="1"/>
    <col min="3" max="3" width="16.28515625" customWidth="1"/>
    <col min="4" max="4" width="10.7109375" customWidth="1"/>
    <col min="5" max="5" width="18.28515625" customWidth="1"/>
  </cols>
  <sheetData>
    <row r="1" spans="1:5" ht="18.75" x14ac:dyDescent="0.3">
      <c r="A1" s="143" t="s">
        <v>276</v>
      </c>
      <c r="B1" s="143"/>
      <c r="C1" s="143"/>
      <c r="D1" s="143"/>
      <c r="E1" s="143"/>
    </row>
    <row r="2" spans="1:5" ht="18.75" x14ac:dyDescent="0.3">
      <c r="A2" s="143" t="s">
        <v>1</v>
      </c>
      <c r="B2" s="143"/>
      <c r="C2" s="143"/>
      <c r="D2" s="143"/>
      <c r="E2" s="143"/>
    </row>
    <row r="3" spans="1:5" ht="18.75" x14ac:dyDescent="0.3">
      <c r="A3" s="143" t="s">
        <v>2</v>
      </c>
      <c r="B3" s="143"/>
      <c r="C3" s="143"/>
      <c r="D3" s="143"/>
      <c r="E3" s="143"/>
    </row>
    <row r="4" spans="1:5" ht="18.75" x14ac:dyDescent="0.3">
      <c r="A4" s="143" t="str">
        <f>'Прил. 1 (Доходы)'!A4:C4</f>
        <v>от 18 декабря 2019 г. № 51</v>
      </c>
      <c r="B4" s="143"/>
      <c r="C4" s="143"/>
      <c r="D4" s="143"/>
      <c r="E4" s="143"/>
    </row>
    <row r="5" spans="1:5" ht="18.75" x14ac:dyDescent="0.3">
      <c r="A5" s="2"/>
      <c r="B5" s="1"/>
      <c r="C5" s="1"/>
      <c r="D5" s="3"/>
      <c r="E5" s="2"/>
    </row>
    <row r="6" spans="1:5" ht="18.75" x14ac:dyDescent="0.3">
      <c r="A6" s="143" t="s">
        <v>277</v>
      </c>
      <c r="B6" s="143"/>
      <c r="C6" s="143"/>
      <c r="D6" s="143"/>
      <c r="E6" s="143"/>
    </row>
    <row r="7" spans="1:5" ht="18.75" x14ac:dyDescent="0.3">
      <c r="A7" s="143" t="s">
        <v>1</v>
      </c>
      <c r="B7" s="143"/>
      <c r="C7" s="143"/>
      <c r="D7" s="143"/>
      <c r="E7" s="143"/>
    </row>
    <row r="8" spans="1:5" ht="18.75" x14ac:dyDescent="0.3">
      <c r="A8" s="143" t="s">
        <v>2</v>
      </c>
      <c r="B8" s="143"/>
      <c r="C8" s="143"/>
      <c r="D8" s="143"/>
      <c r="E8" s="143"/>
    </row>
    <row r="9" spans="1:5" ht="18.75" x14ac:dyDescent="0.3">
      <c r="A9" s="143" t="s">
        <v>3</v>
      </c>
      <c r="B9" s="143"/>
      <c r="C9" s="143"/>
      <c r="D9" s="143"/>
      <c r="E9" s="143"/>
    </row>
    <row r="10" spans="1:5" ht="18.75" x14ac:dyDescent="0.3">
      <c r="A10" s="2"/>
      <c r="B10" s="1"/>
      <c r="C10" s="3"/>
      <c r="D10" s="2"/>
      <c r="E10" s="2"/>
    </row>
    <row r="11" spans="1:5" ht="24" customHeight="1" x14ac:dyDescent="0.25">
      <c r="A11" s="147" t="s">
        <v>278</v>
      </c>
      <c r="B11" s="147"/>
      <c r="C11" s="147"/>
      <c r="D11" s="147"/>
      <c r="E11" s="147"/>
    </row>
    <row r="12" spans="1:5" ht="18.75" x14ac:dyDescent="0.3">
      <c r="A12" s="2"/>
      <c r="B12" s="2"/>
      <c r="C12" s="2"/>
      <c r="D12" s="2"/>
      <c r="E12" s="2"/>
    </row>
    <row r="13" spans="1:5" ht="18.75" x14ac:dyDescent="0.25">
      <c r="A13" s="8"/>
      <c r="B13" s="8"/>
      <c r="C13" s="8"/>
      <c r="D13" s="8"/>
      <c r="E13" s="8" t="s">
        <v>279</v>
      </c>
    </row>
    <row r="14" spans="1:5" x14ac:dyDescent="0.25">
      <c r="A14" s="148" t="s">
        <v>280</v>
      </c>
      <c r="B14" s="149" t="s">
        <v>281</v>
      </c>
      <c r="C14" s="149" t="s">
        <v>282</v>
      </c>
      <c r="D14" s="149" t="s">
        <v>283</v>
      </c>
      <c r="E14" s="148" t="s">
        <v>8</v>
      </c>
    </row>
    <row r="15" spans="1:5" x14ac:dyDescent="0.25">
      <c r="A15" s="148"/>
      <c r="B15" s="149" t="s">
        <v>281</v>
      </c>
      <c r="C15" s="149" t="s">
        <v>282</v>
      </c>
      <c r="D15" s="149" t="s">
        <v>283</v>
      </c>
      <c r="E15" s="148"/>
    </row>
    <row r="16" spans="1:5" x14ac:dyDescent="0.25">
      <c r="A16" s="9">
        <v>1</v>
      </c>
      <c r="B16" s="9">
        <v>2</v>
      </c>
      <c r="C16" s="9">
        <v>3</v>
      </c>
      <c r="D16" s="9">
        <v>4</v>
      </c>
      <c r="E16" s="9">
        <v>5</v>
      </c>
    </row>
    <row r="17" spans="1:5" ht="15.75" x14ac:dyDescent="0.25">
      <c r="A17" s="10" t="s">
        <v>284</v>
      </c>
      <c r="B17" s="11"/>
      <c r="C17" s="11"/>
      <c r="D17" s="11"/>
      <c r="E17" s="12">
        <f>E18+E28+E33+E179+E267+E310+E401+0.001</f>
        <v>782520.07667000021</v>
      </c>
    </row>
    <row r="18" spans="1:5" ht="15.75" x14ac:dyDescent="0.25">
      <c r="A18" s="13" t="s">
        <v>285</v>
      </c>
      <c r="B18" s="14" t="s">
        <v>286</v>
      </c>
      <c r="C18" s="14"/>
      <c r="D18" s="14"/>
      <c r="E18" s="15">
        <f>E19</f>
        <v>1380.7306800000001</v>
      </c>
    </row>
    <row r="19" spans="1:5" ht="15.75" x14ac:dyDescent="0.25">
      <c r="A19" s="16" t="s">
        <v>287</v>
      </c>
      <c r="B19" s="17" t="s">
        <v>286</v>
      </c>
      <c r="C19" s="17" t="s">
        <v>288</v>
      </c>
      <c r="D19" s="17"/>
      <c r="E19" s="18">
        <f>E20</f>
        <v>1380.7306800000001</v>
      </c>
    </row>
    <row r="20" spans="1:5" ht="15.75" x14ac:dyDescent="0.25">
      <c r="A20" s="16" t="s">
        <v>289</v>
      </c>
      <c r="B20" s="17" t="s">
        <v>286</v>
      </c>
      <c r="C20" s="17" t="s">
        <v>290</v>
      </c>
      <c r="D20" s="17"/>
      <c r="E20" s="18">
        <f>1266.593+76.623+38.51468-1</f>
        <v>1380.7306800000001</v>
      </c>
    </row>
    <row r="21" spans="1:5" ht="15.75" x14ac:dyDescent="0.25">
      <c r="A21" s="16" t="s">
        <v>291</v>
      </c>
      <c r="B21" s="17" t="s">
        <v>286</v>
      </c>
      <c r="C21" s="17" t="s">
        <v>292</v>
      </c>
      <c r="D21" s="17"/>
      <c r="E21" s="18">
        <f>E22</f>
        <v>955.25768000000005</v>
      </c>
    </row>
    <row r="22" spans="1:5" ht="47.25" x14ac:dyDescent="0.25">
      <c r="A22" s="19" t="s">
        <v>293</v>
      </c>
      <c r="B22" s="20" t="s">
        <v>286</v>
      </c>
      <c r="C22" s="20" t="s">
        <v>292</v>
      </c>
      <c r="D22" s="20" t="s">
        <v>294</v>
      </c>
      <c r="E22" s="21">
        <f>76.623+840.12+38.51468</f>
        <v>955.25768000000005</v>
      </c>
    </row>
    <row r="23" spans="1:5" ht="31.5" x14ac:dyDescent="0.25">
      <c r="A23" s="16" t="s">
        <v>295</v>
      </c>
      <c r="B23" s="17" t="s">
        <v>286</v>
      </c>
      <c r="C23" s="17" t="s">
        <v>296</v>
      </c>
      <c r="D23" s="17"/>
      <c r="E23" s="18">
        <v>19.013000000000002</v>
      </c>
    </row>
    <row r="24" spans="1:5" ht="15.75" x14ac:dyDescent="0.25">
      <c r="A24" s="19" t="s">
        <v>297</v>
      </c>
      <c r="B24" s="20" t="s">
        <v>286</v>
      </c>
      <c r="C24" s="20" t="s">
        <v>296</v>
      </c>
      <c r="D24" s="20" t="s">
        <v>298</v>
      </c>
      <c r="E24" s="21">
        <v>19.013000000000002</v>
      </c>
    </row>
    <row r="25" spans="1:5" ht="47.25" x14ac:dyDescent="0.25">
      <c r="A25" s="16" t="s">
        <v>299</v>
      </c>
      <c r="B25" s="17" t="s">
        <v>286</v>
      </c>
      <c r="C25" s="17" t="s">
        <v>300</v>
      </c>
      <c r="D25" s="17"/>
      <c r="E25" s="18">
        <f>407.46-1</f>
        <v>406.46</v>
      </c>
    </row>
    <row r="26" spans="1:5" ht="47.25" x14ac:dyDescent="0.25">
      <c r="A26" s="19" t="s">
        <v>293</v>
      </c>
      <c r="B26" s="20" t="s">
        <v>286</v>
      </c>
      <c r="C26" s="20" t="s">
        <v>300</v>
      </c>
      <c r="D26" s="20" t="s">
        <v>294</v>
      </c>
      <c r="E26" s="21">
        <v>390.57</v>
      </c>
    </row>
    <row r="27" spans="1:5" ht="15.75" x14ac:dyDescent="0.25">
      <c r="A27" s="19" t="s">
        <v>297</v>
      </c>
      <c r="B27" s="20" t="s">
        <v>286</v>
      </c>
      <c r="C27" s="20" t="s">
        <v>300</v>
      </c>
      <c r="D27" s="20" t="s">
        <v>298</v>
      </c>
      <c r="E27" s="21">
        <f>16.89-1</f>
        <v>15.89</v>
      </c>
    </row>
    <row r="28" spans="1:5" ht="15.75" x14ac:dyDescent="0.25">
      <c r="A28" s="13" t="s">
        <v>301</v>
      </c>
      <c r="B28" s="14" t="s">
        <v>302</v>
      </c>
      <c r="C28" s="14"/>
      <c r="D28" s="14"/>
      <c r="E28" s="15">
        <f>E29</f>
        <v>430</v>
      </c>
    </row>
    <row r="29" spans="1:5" ht="15.75" x14ac:dyDescent="0.25">
      <c r="A29" s="16" t="s">
        <v>287</v>
      </c>
      <c r="B29" s="17" t="s">
        <v>302</v>
      </c>
      <c r="C29" s="17" t="s">
        <v>288</v>
      </c>
      <c r="D29" s="17"/>
      <c r="E29" s="18">
        <f>E30</f>
        <v>430</v>
      </c>
    </row>
    <row r="30" spans="1:5" ht="15.75" x14ac:dyDescent="0.25">
      <c r="A30" s="16" t="s">
        <v>289</v>
      </c>
      <c r="B30" s="17" t="s">
        <v>302</v>
      </c>
      <c r="C30" s="17" t="s">
        <v>290</v>
      </c>
      <c r="D30" s="17"/>
      <c r="E30" s="18">
        <f>E31</f>
        <v>430</v>
      </c>
    </row>
    <row r="31" spans="1:5" ht="15.75" x14ac:dyDescent="0.25">
      <c r="A31" s="16" t="s">
        <v>303</v>
      </c>
      <c r="B31" s="17" t="s">
        <v>302</v>
      </c>
      <c r="C31" s="17" t="s">
        <v>304</v>
      </c>
      <c r="D31" s="17"/>
      <c r="E31" s="18">
        <f>E32</f>
        <v>430</v>
      </c>
    </row>
    <row r="32" spans="1:5" ht="15.75" x14ac:dyDescent="0.25">
      <c r="A32" s="19" t="s">
        <v>297</v>
      </c>
      <c r="B32" s="20" t="s">
        <v>302</v>
      </c>
      <c r="C32" s="20" t="s">
        <v>304</v>
      </c>
      <c r="D32" s="20" t="s">
        <v>298</v>
      </c>
      <c r="E32" s="21">
        <f>150+280</f>
        <v>430</v>
      </c>
    </row>
    <row r="33" spans="1:5" ht="15.75" x14ac:dyDescent="0.25">
      <c r="A33" s="13" t="s">
        <v>305</v>
      </c>
      <c r="B33" s="14" t="s">
        <v>306</v>
      </c>
      <c r="C33" s="14"/>
      <c r="D33" s="14"/>
      <c r="E33" s="15">
        <v>104725.425</v>
      </c>
    </row>
    <row r="34" spans="1:5" ht="15.75" x14ac:dyDescent="0.25">
      <c r="A34" s="22" t="s">
        <v>307</v>
      </c>
      <c r="B34" s="23" t="s">
        <v>306</v>
      </c>
      <c r="C34" s="23" t="s">
        <v>308</v>
      </c>
      <c r="D34" s="23"/>
      <c r="E34" s="24">
        <f>3778.90133-20.60557-120.493-134.5-300</f>
        <v>3203.30276</v>
      </c>
    </row>
    <row r="35" spans="1:5" ht="15.75" x14ac:dyDescent="0.25">
      <c r="A35" s="22" t="s">
        <v>309</v>
      </c>
      <c r="B35" s="23" t="s">
        <v>306</v>
      </c>
      <c r="C35" s="23" t="s">
        <v>310</v>
      </c>
      <c r="D35" s="23"/>
      <c r="E35" s="24">
        <f>2883.89633-20.60557-120.493-134.5-300</f>
        <v>2308.2977599999999</v>
      </c>
    </row>
    <row r="36" spans="1:5" ht="31.5" x14ac:dyDescent="0.25">
      <c r="A36" s="22" t="s">
        <v>311</v>
      </c>
      <c r="B36" s="23" t="s">
        <v>306</v>
      </c>
      <c r="C36" s="23" t="s">
        <v>312</v>
      </c>
      <c r="D36" s="23"/>
      <c r="E36" s="24">
        <f>E37</f>
        <v>0</v>
      </c>
    </row>
    <row r="37" spans="1:5" ht="63" x14ac:dyDescent="0.25">
      <c r="A37" s="25" t="s">
        <v>313</v>
      </c>
      <c r="B37" s="23" t="s">
        <v>306</v>
      </c>
      <c r="C37" s="23" t="s">
        <v>314</v>
      </c>
      <c r="D37" s="23"/>
      <c r="E37" s="24">
        <f>E38</f>
        <v>0</v>
      </c>
    </row>
    <row r="38" spans="1:5" ht="15.75" x14ac:dyDescent="0.25">
      <c r="A38" s="26" t="s">
        <v>315</v>
      </c>
      <c r="B38" s="27" t="s">
        <v>306</v>
      </c>
      <c r="C38" s="27" t="s">
        <v>314</v>
      </c>
      <c r="D38" s="27" t="s">
        <v>316</v>
      </c>
      <c r="E38" s="28">
        <f>-134.5+134.5</f>
        <v>0</v>
      </c>
    </row>
    <row r="39" spans="1:5" ht="47.25" x14ac:dyDescent="0.25">
      <c r="A39" s="22" t="s">
        <v>317</v>
      </c>
      <c r="B39" s="23" t="s">
        <v>306</v>
      </c>
      <c r="C39" s="23" t="s">
        <v>318</v>
      </c>
      <c r="D39" s="23"/>
      <c r="E39" s="24">
        <f>E40</f>
        <v>0</v>
      </c>
    </row>
    <row r="40" spans="1:5" ht="15.75" x14ac:dyDescent="0.25">
      <c r="A40" s="26" t="s">
        <v>315</v>
      </c>
      <c r="B40" s="27" t="s">
        <v>306</v>
      </c>
      <c r="C40" s="27" t="s">
        <v>318</v>
      </c>
      <c r="D40" s="27" t="s">
        <v>316</v>
      </c>
      <c r="E40" s="28">
        <f>-300+300</f>
        <v>0</v>
      </c>
    </row>
    <row r="41" spans="1:5" ht="47.25" x14ac:dyDescent="0.25">
      <c r="A41" s="22" t="s">
        <v>319</v>
      </c>
      <c r="B41" s="23" t="s">
        <v>306</v>
      </c>
      <c r="C41" s="23" t="s">
        <v>320</v>
      </c>
      <c r="D41" s="23"/>
      <c r="E41" s="24">
        <f>E42</f>
        <v>0</v>
      </c>
    </row>
    <row r="42" spans="1:5" ht="15.75" x14ac:dyDescent="0.25">
      <c r="A42" s="26" t="s">
        <v>321</v>
      </c>
      <c r="B42" s="27" t="s">
        <v>306</v>
      </c>
      <c r="C42" s="27" t="s">
        <v>320</v>
      </c>
      <c r="D42" s="27" t="s">
        <v>322</v>
      </c>
      <c r="E42" s="28">
        <f>120.493-120.493</f>
        <v>0</v>
      </c>
    </row>
    <row r="43" spans="1:5" ht="47.25" x14ac:dyDescent="0.25">
      <c r="A43" s="22" t="s">
        <v>323</v>
      </c>
      <c r="B43" s="23" t="s">
        <v>306</v>
      </c>
      <c r="C43" s="23" t="s">
        <v>324</v>
      </c>
      <c r="D43" s="23"/>
      <c r="E43" s="24">
        <f>E44</f>
        <v>2028.7907630000002</v>
      </c>
    </row>
    <row r="44" spans="1:5" ht="15.75" x14ac:dyDescent="0.25">
      <c r="A44" s="26" t="s">
        <v>315</v>
      </c>
      <c r="B44" s="27" t="s">
        <v>306</v>
      </c>
      <c r="C44" s="27" t="s">
        <v>324</v>
      </c>
      <c r="D44" s="27" t="s">
        <v>316</v>
      </c>
      <c r="E44" s="28">
        <f>-20.60557+2049.396333</f>
        <v>2028.7907630000002</v>
      </c>
    </row>
    <row r="45" spans="1:5" ht="47.25" x14ac:dyDescent="0.25">
      <c r="A45" s="22" t="s">
        <v>325</v>
      </c>
      <c r="B45" s="23" t="s">
        <v>306</v>
      </c>
      <c r="C45" s="23" t="s">
        <v>326</v>
      </c>
      <c r="D45" s="23"/>
      <c r="E45" s="24">
        <v>279.50700000000001</v>
      </c>
    </row>
    <row r="46" spans="1:5" ht="15.75" x14ac:dyDescent="0.25">
      <c r="A46" s="26" t="s">
        <v>321</v>
      </c>
      <c r="B46" s="27" t="s">
        <v>306</v>
      </c>
      <c r="C46" s="27" t="s">
        <v>326</v>
      </c>
      <c r="D46" s="27" t="s">
        <v>322</v>
      </c>
      <c r="E46" s="28">
        <v>279.50700000000001</v>
      </c>
    </row>
    <row r="47" spans="1:5" ht="31.5" x14ac:dyDescent="0.25">
      <c r="A47" s="22" t="s">
        <v>327</v>
      </c>
      <c r="B47" s="23" t="s">
        <v>306</v>
      </c>
      <c r="C47" s="23" t="s">
        <v>328</v>
      </c>
      <c r="D47" s="23"/>
      <c r="E47" s="24">
        <v>571.42899999999997</v>
      </c>
    </row>
    <row r="48" spans="1:5" ht="15.75" x14ac:dyDescent="0.25">
      <c r="A48" s="22" t="s">
        <v>329</v>
      </c>
      <c r="B48" s="23" t="s">
        <v>306</v>
      </c>
      <c r="C48" s="23" t="s">
        <v>330</v>
      </c>
      <c r="D48" s="23"/>
      <c r="E48" s="24">
        <v>571.42899999999997</v>
      </c>
    </row>
    <row r="49" spans="1:5" ht="31.5" x14ac:dyDescent="0.25">
      <c r="A49" s="22" t="s">
        <v>331</v>
      </c>
      <c r="B49" s="23" t="s">
        <v>306</v>
      </c>
      <c r="C49" s="23" t="s">
        <v>332</v>
      </c>
      <c r="D49" s="23"/>
      <c r="E49" s="24">
        <v>571.42899999999997</v>
      </c>
    </row>
    <row r="50" spans="1:5" ht="15.75" x14ac:dyDescent="0.25">
      <c r="A50" s="26" t="s">
        <v>315</v>
      </c>
      <c r="B50" s="27" t="s">
        <v>306</v>
      </c>
      <c r="C50" s="27" t="s">
        <v>332</v>
      </c>
      <c r="D50" s="27" t="s">
        <v>316</v>
      </c>
      <c r="E50" s="28">
        <v>571.42899999999997</v>
      </c>
    </row>
    <row r="51" spans="1:5" ht="15.75" x14ac:dyDescent="0.25">
      <c r="A51" s="22" t="s">
        <v>333</v>
      </c>
      <c r="B51" s="23" t="s">
        <v>306</v>
      </c>
      <c r="C51" s="23" t="s">
        <v>334</v>
      </c>
      <c r="D51" s="23"/>
      <c r="E51" s="24">
        <v>150</v>
      </c>
    </row>
    <row r="52" spans="1:5" ht="31.5" x14ac:dyDescent="0.25">
      <c r="A52" s="22" t="s">
        <v>335</v>
      </c>
      <c r="B52" s="23" t="s">
        <v>306</v>
      </c>
      <c r="C52" s="23" t="s">
        <v>336</v>
      </c>
      <c r="D52" s="23"/>
      <c r="E52" s="24">
        <v>150</v>
      </c>
    </row>
    <row r="53" spans="1:5" ht="15.75" x14ac:dyDescent="0.25">
      <c r="A53" s="26" t="s">
        <v>315</v>
      </c>
      <c r="B53" s="27" t="s">
        <v>306</v>
      </c>
      <c r="C53" s="27" t="s">
        <v>336</v>
      </c>
      <c r="D53" s="27" t="s">
        <v>316</v>
      </c>
      <c r="E53" s="28">
        <v>150</v>
      </c>
    </row>
    <row r="54" spans="1:5" ht="15.75" x14ac:dyDescent="0.25">
      <c r="A54" s="22" t="s">
        <v>337</v>
      </c>
      <c r="B54" s="23" t="s">
        <v>306</v>
      </c>
      <c r="C54" s="23" t="s">
        <v>338</v>
      </c>
      <c r="D54" s="23"/>
      <c r="E54" s="24">
        <v>173.57599999999999</v>
      </c>
    </row>
    <row r="55" spans="1:5" ht="31.5" x14ac:dyDescent="0.25">
      <c r="A55" s="22" t="s">
        <v>339</v>
      </c>
      <c r="B55" s="23" t="s">
        <v>306</v>
      </c>
      <c r="C55" s="23" t="s">
        <v>340</v>
      </c>
      <c r="D55" s="23"/>
      <c r="E55" s="24">
        <v>173.57599999999999</v>
      </c>
    </row>
    <row r="56" spans="1:5" ht="15.75" x14ac:dyDescent="0.25">
      <c r="A56" s="26" t="s">
        <v>321</v>
      </c>
      <c r="B56" s="27" t="s">
        <v>306</v>
      </c>
      <c r="C56" s="27" t="s">
        <v>340</v>
      </c>
      <c r="D56" s="27" t="s">
        <v>322</v>
      </c>
      <c r="E56" s="28">
        <v>173.57599999999999</v>
      </c>
    </row>
    <row r="57" spans="1:5" ht="31.5" x14ac:dyDescent="0.25">
      <c r="A57" s="22" t="s">
        <v>341</v>
      </c>
      <c r="B57" s="23" t="s">
        <v>306</v>
      </c>
      <c r="C57" s="23" t="s">
        <v>342</v>
      </c>
      <c r="D57" s="23"/>
      <c r="E57" s="24">
        <f>E58+E80</f>
        <v>27500.996999999999</v>
      </c>
    </row>
    <row r="58" spans="1:5" ht="31.5" x14ac:dyDescent="0.25">
      <c r="A58" s="22" t="s">
        <v>343</v>
      </c>
      <c r="B58" s="23" t="s">
        <v>306</v>
      </c>
      <c r="C58" s="23" t="s">
        <v>344</v>
      </c>
      <c r="D58" s="23"/>
      <c r="E58" s="24">
        <f>25110.779-120.854-940.011+3152.583</f>
        <v>27202.496999999999</v>
      </c>
    </row>
    <row r="59" spans="1:5" ht="15.75" x14ac:dyDescent="0.25">
      <c r="A59" s="22" t="s">
        <v>345</v>
      </c>
      <c r="B59" s="23" t="s">
        <v>306</v>
      </c>
      <c r="C59" s="23" t="s">
        <v>346</v>
      </c>
      <c r="D59" s="23"/>
      <c r="E59" s="24">
        <f>E60</f>
        <v>5897.7489999999998</v>
      </c>
    </row>
    <row r="60" spans="1:5" ht="15.75" x14ac:dyDescent="0.25">
      <c r="A60" s="26" t="s">
        <v>297</v>
      </c>
      <c r="B60" s="27" t="s">
        <v>306</v>
      </c>
      <c r="C60" s="27" t="s">
        <v>346</v>
      </c>
      <c r="D60" s="27" t="s">
        <v>298</v>
      </c>
      <c r="E60" s="28">
        <f>3393.187-800+151.979+3152.583</f>
        <v>5897.7489999999998</v>
      </c>
    </row>
    <row r="61" spans="1:5" ht="15.75" x14ac:dyDescent="0.25">
      <c r="A61" s="22" t="s">
        <v>347</v>
      </c>
      <c r="B61" s="23" t="s">
        <v>306</v>
      </c>
      <c r="C61" s="23" t="s">
        <v>348</v>
      </c>
      <c r="D61" s="23"/>
      <c r="E61" s="24">
        <f>E62</f>
        <v>1993.7459999999999</v>
      </c>
    </row>
    <row r="62" spans="1:5" ht="15.75" x14ac:dyDescent="0.25">
      <c r="A62" s="26" t="s">
        <v>321</v>
      </c>
      <c r="B62" s="27" t="s">
        <v>306</v>
      </c>
      <c r="C62" s="27" t="s">
        <v>348</v>
      </c>
      <c r="D62" s="27" t="s">
        <v>322</v>
      </c>
      <c r="E62" s="28">
        <f>2114.6-120.854</f>
        <v>1993.7459999999999</v>
      </c>
    </row>
    <row r="63" spans="1:5" ht="15.75" x14ac:dyDescent="0.25">
      <c r="A63" s="22" t="s">
        <v>345</v>
      </c>
      <c r="B63" s="23" t="s">
        <v>306</v>
      </c>
      <c r="C63" s="23" t="s">
        <v>349</v>
      </c>
      <c r="D63" s="23"/>
      <c r="E63" s="24">
        <v>9034.1229999999996</v>
      </c>
    </row>
    <row r="64" spans="1:5" ht="15.75" x14ac:dyDescent="0.25">
      <c r="A64" s="26" t="s">
        <v>297</v>
      </c>
      <c r="B64" s="27" t="s">
        <v>306</v>
      </c>
      <c r="C64" s="27" t="s">
        <v>349</v>
      </c>
      <c r="D64" s="27" t="s">
        <v>298</v>
      </c>
      <c r="E64" s="28">
        <v>9003.1350000000002</v>
      </c>
    </row>
    <row r="65" spans="1:5" ht="15.75" x14ac:dyDescent="0.25">
      <c r="A65" s="26" t="s">
        <v>321</v>
      </c>
      <c r="B65" s="27" t="s">
        <v>306</v>
      </c>
      <c r="C65" s="27" t="s">
        <v>349</v>
      </c>
      <c r="D65" s="27" t="s">
        <v>322</v>
      </c>
      <c r="E65" s="28">
        <v>30.988</v>
      </c>
    </row>
    <row r="66" spans="1:5" ht="31.5" x14ac:dyDescent="0.25">
      <c r="A66" s="22" t="s">
        <v>350</v>
      </c>
      <c r="B66" s="23" t="s">
        <v>306</v>
      </c>
      <c r="C66" s="23" t="s">
        <v>351</v>
      </c>
      <c r="D66" s="23"/>
      <c r="E66" s="24">
        <f>E67</f>
        <v>5007.3159299999998</v>
      </c>
    </row>
    <row r="67" spans="1:5" ht="15.75" x14ac:dyDescent="0.25">
      <c r="A67" s="26" t="s">
        <v>297</v>
      </c>
      <c r="B67" s="27" t="s">
        <v>306</v>
      </c>
      <c r="C67" s="27" t="s">
        <v>351</v>
      </c>
      <c r="D67" s="27" t="s">
        <v>298</v>
      </c>
      <c r="E67" s="28">
        <f>800+4359.295-1.12473-150.85434</f>
        <v>5007.3159299999998</v>
      </c>
    </row>
    <row r="68" spans="1:5" ht="15.75" x14ac:dyDescent="0.25">
      <c r="A68" s="22" t="s">
        <v>352</v>
      </c>
      <c r="B68" s="23" t="s">
        <v>306</v>
      </c>
      <c r="C68" s="23" t="s">
        <v>353</v>
      </c>
      <c r="D68" s="23"/>
      <c r="E68" s="24">
        <v>448.42500000000001</v>
      </c>
    </row>
    <row r="69" spans="1:5" ht="15.75" x14ac:dyDescent="0.25">
      <c r="A69" s="26" t="s">
        <v>297</v>
      </c>
      <c r="B69" s="27" t="s">
        <v>306</v>
      </c>
      <c r="C69" s="27" t="s">
        <v>353</v>
      </c>
      <c r="D69" s="27" t="s">
        <v>298</v>
      </c>
      <c r="E69" s="28">
        <v>448.42500000000001</v>
      </c>
    </row>
    <row r="70" spans="1:5" ht="47.25" x14ac:dyDescent="0.25">
      <c r="A70" s="22" t="s">
        <v>354</v>
      </c>
      <c r="B70" s="23" t="s">
        <v>306</v>
      </c>
      <c r="C70" s="23" t="s">
        <v>355</v>
      </c>
      <c r="D70" s="23"/>
      <c r="E70" s="24">
        <v>3261.0610000000001</v>
      </c>
    </row>
    <row r="71" spans="1:5" ht="15.75" x14ac:dyDescent="0.25">
      <c r="A71" s="26" t="s">
        <v>321</v>
      </c>
      <c r="B71" s="27" t="s">
        <v>306</v>
      </c>
      <c r="C71" s="27" t="s">
        <v>355</v>
      </c>
      <c r="D71" s="27" t="s">
        <v>322</v>
      </c>
      <c r="E71" s="28">
        <v>3261.0610000000001</v>
      </c>
    </row>
    <row r="72" spans="1:5" ht="47.25" x14ac:dyDescent="0.25">
      <c r="A72" s="22" t="s">
        <v>356</v>
      </c>
      <c r="B72" s="23" t="s">
        <v>306</v>
      </c>
      <c r="C72" s="23" t="s">
        <v>357</v>
      </c>
      <c r="D72" s="23"/>
      <c r="E72" s="24">
        <v>0.216</v>
      </c>
    </row>
    <row r="73" spans="1:5" ht="15.75" x14ac:dyDescent="0.25">
      <c r="A73" s="26" t="s">
        <v>321</v>
      </c>
      <c r="B73" s="27" t="s">
        <v>306</v>
      </c>
      <c r="C73" s="27" t="s">
        <v>357</v>
      </c>
      <c r="D73" s="27" t="s">
        <v>322</v>
      </c>
      <c r="E73" s="28">
        <v>0.216</v>
      </c>
    </row>
    <row r="74" spans="1:5" ht="15.75" x14ac:dyDescent="0.25">
      <c r="A74" s="22" t="s">
        <v>358</v>
      </c>
      <c r="B74" s="23" t="s">
        <v>306</v>
      </c>
      <c r="C74" s="23" t="s">
        <v>359</v>
      </c>
      <c r="D74" s="23"/>
      <c r="E74" s="24">
        <v>1099.8720000000001</v>
      </c>
    </row>
    <row r="75" spans="1:5" ht="15.75" x14ac:dyDescent="0.25">
      <c r="A75" s="26" t="s">
        <v>297</v>
      </c>
      <c r="B75" s="27" t="s">
        <v>306</v>
      </c>
      <c r="C75" s="27" t="s">
        <v>359</v>
      </c>
      <c r="D75" s="27" t="s">
        <v>298</v>
      </c>
      <c r="E75" s="28">
        <v>1099.8720000000001</v>
      </c>
    </row>
    <row r="76" spans="1:5" ht="15.75" x14ac:dyDescent="0.25">
      <c r="A76" s="22" t="s">
        <v>360</v>
      </c>
      <c r="B76" s="23" t="s">
        <v>306</v>
      </c>
      <c r="C76" s="23" t="s">
        <v>361</v>
      </c>
      <c r="D76" s="23"/>
      <c r="E76" s="24">
        <f>E77</f>
        <v>159.98900000000003</v>
      </c>
    </row>
    <row r="77" spans="1:5" ht="15.75" x14ac:dyDescent="0.25">
      <c r="A77" s="26" t="s">
        <v>321</v>
      </c>
      <c r="B77" s="27" t="s">
        <v>306</v>
      </c>
      <c r="C77" s="27" t="s">
        <v>361</v>
      </c>
      <c r="D77" s="27" t="s">
        <v>322</v>
      </c>
      <c r="E77" s="28">
        <f>1100-940.011</f>
        <v>159.98900000000003</v>
      </c>
    </row>
    <row r="78" spans="1:5" ht="15.75" x14ac:dyDescent="0.25">
      <c r="A78" s="22" t="s">
        <v>362</v>
      </c>
      <c r="B78" s="23" t="s">
        <v>306</v>
      </c>
      <c r="C78" s="23" t="s">
        <v>363</v>
      </c>
      <c r="D78" s="23"/>
      <c r="E78" s="24">
        <v>300</v>
      </c>
    </row>
    <row r="79" spans="1:5" ht="15.75" x14ac:dyDescent="0.25">
      <c r="A79" s="26" t="s">
        <v>321</v>
      </c>
      <c r="B79" s="27" t="s">
        <v>306</v>
      </c>
      <c r="C79" s="27" t="s">
        <v>363</v>
      </c>
      <c r="D79" s="27" t="s">
        <v>322</v>
      </c>
      <c r="E79" s="28">
        <v>300</v>
      </c>
    </row>
    <row r="80" spans="1:5" ht="15.75" x14ac:dyDescent="0.25">
      <c r="A80" s="22" t="s">
        <v>364</v>
      </c>
      <c r="B80" s="23" t="s">
        <v>306</v>
      </c>
      <c r="C80" s="23" t="s">
        <v>365</v>
      </c>
      <c r="D80" s="23"/>
      <c r="E80" s="24">
        <f>E81</f>
        <v>298.5</v>
      </c>
    </row>
    <row r="81" spans="1:5" ht="15.75" x14ac:dyDescent="0.25">
      <c r="A81" s="22" t="s">
        <v>366</v>
      </c>
      <c r="B81" s="23" t="s">
        <v>306</v>
      </c>
      <c r="C81" s="23" t="s">
        <v>367</v>
      </c>
      <c r="D81" s="23"/>
      <c r="E81" s="24">
        <f>E82</f>
        <v>298.5</v>
      </c>
    </row>
    <row r="82" spans="1:5" ht="15.75" x14ac:dyDescent="0.25">
      <c r="A82" s="26" t="s">
        <v>321</v>
      </c>
      <c r="B82" s="27" t="s">
        <v>306</v>
      </c>
      <c r="C82" s="27" t="s">
        <v>367</v>
      </c>
      <c r="D82" s="27" t="s">
        <v>322</v>
      </c>
      <c r="E82" s="28">
        <f>300-1.5</f>
        <v>298.5</v>
      </c>
    </row>
    <row r="83" spans="1:5" ht="31.5" x14ac:dyDescent="0.25">
      <c r="A83" s="22" t="s">
        <v>368</v>
      </c>
      <c r="B83" s="23" t="s">
        <v>306</v>
      </c>
      <c r="C83" s="23" t="s">
        <v>369</v>
      </c>
      <c r="D83" s="23"/>
      <c r="E83" s="24">
        <f>E84+E92</f>
        <v>4958.8160000000007</v>
      </c>
    </row>
    <row r="84" spans="1:5" ht="31.5" x14ac:dyDescent="0.25">
      <c r="A84" s="22" t="s">
        <v>370</v>
      </c>
      <c r="B84" s="23" t="s">
        <v>306</v>
      </c>
      <c r="C84" s="23" t="s">
        <v>371</v>
      </c>
      <c r="D84" s="23"/>
      <c r="E84" s="24">
        <f>E85+E87+E89</f>
        <v>4500.8060000000005</v>
      </c>
    </row>
    <row r="85" spans="1:5" ht="31.5" x14ac:dyDescent="0.25">
      <c r="A85" s="22" t="s">
        <v>372</v>
      </c>
      <c r="B85" s="23" t="s">
        <v>306</v>
      </c>
      <c r="C85" s="23" t="s">
        <v>373</v>
      </c>
      <c r="D85" s="23"/>
      <c r="E85" s="24">
        <v>834.49800000000005</v>
      </c>
    </row>
    <row r="86" spans="1:5" ht="15.75" x14ac:dyDescent="0.25">
      <c r="A86" s="26" t="s">
        <v>374</v>
      </c>
      <c r="B86" s="27" t="s">
        <v>306</v>
      </c>
      <c r="C86" s="27" t="s">
        <v>373</v>
      </c>
      <c r="D86" s="27" t="s">
        <v>375</v>
      </c>
      <c r="E86" s="28">
        <v>834.49800000000005</v>
      </c>
    </row>
    <row r="87" spans="1:5" ht="47.25" x14ac:dyDescent="0.25">
      <c r="A87" s="22" t="s">
        <v>376</v>
      </c>
      <c r="B87" s="23" t="s">
        <v>306</v>
      </c>
      <c r="C87" s="23" t="s">
        <v>377</v>
      </c>
      <c r="D87" s="23"/>
      <c r="E87" s="24">
        <v>834.49800000000005</v>
      </c>
    </row>
    <row r="88" spans="1:5" ht="15.75" x14ac:dyDescent="0.25">
      <c r="A88" s="26" t="s">
        <v>374</v>
      </c>
      <c r="B88" s="27" t="s">
        <v>306</v>
      </c>
      <c r="C88" s="27" t="s">
        <v>377</v>
      </c>
      <c r="D88" s="27" t="s">
        <v>375</v>
      </c>
      <c r="E88" s="28">
        <v>834.49800000000005</v>
      </c>
    </row>
    <row r="89" spans="1:5" ht="15.75" x14ac:dyDescent="0.25">
      <c r="A89" s="22" t="s">
        <v>378</v>
      </c>
      <c r="B89" s="23" t="s">
        <v>306</v>
      </c>
      <c r="C89" s="23" t="s">
        <v>379</v>
      </c>
      <c r="D89" s="23"/>
      <c r="E89" s="24">
        <f>E90</f>
        <v>2831.81</v>
      </c>
    </row>
    <row r="90" spans="1:5" ht="15.75" x14ac:dyDescent="0.25">
      <c r="A90" s="22" t="s">
        <v>378</v>
      </c>
      <c r="B90" s="23" t="s">
        <v>306</v>
      </c>
      <c r="C90" s="23" t="s">
        <v>380</v>
      </c>
      <c r="D90" s="23"/>
      <c r="E90" s="24">
        <f>E91</f>
        <v>2831.81</v>
      </c>
    </row>
    <row r="91" spans="1:5" ht="15.75" x14ac:dyDescent="0.25">
      <c r="A91" s="26" t="s">
        <v>321</v>
      </c>
      <c r="B91" s="27" t="s">
        <v>306</v>
      </c>
      <c r="C91" s="27" t="s">
        <v>380</v>
      </c>
      <c r="D91" s="27" t="s">
        <v>322</v>
      </c>
      <c r="E91" s="28">
        <f>3125.024-293.214</f>
        <v>2831.81</v>
      </c>
    </row>
    <row r="92" spans="1:5" ht="31.5" x14ac:dyDescent="0.25">
      <c r="A92" s="22" t="s">
        <v>381</v>
      </c>
      <c r="B92" s="23" t="s">
        <v>306</v>
      </c>
      <c r="C92" s="23" t="s">
        <v>382</v>
      </c>
      <c r="D92" s="23"/>
      <c r="E92" s="24">
        <f>E93+E96+E98+E102+E100</f>
        <v>458.01</v>
      </c>
    </row>
    <row r="93" spans="1:5" ht="15.75" x14ac:dyDescent="0.25">
      <c r="A93" s="22" t="s">
        <v>383</v>
      </c>
      <c r="B93" s="23" t="s">
        <v>306</v>
      </c>
      <c r="C93" s="23" t="s">
        <v>384</v>
      </c>
      <c r="D93" s="23"/>
      <c r="E93" s="24">
        <f>E94</f>
        <v>77.141999999999996</v>
      </c>
    </row>
    <row r="94" spans="1:5" ht="15.75" x14ac:dyDescent="0.25">
      <c r="A94" s="22" t="s">
        <v>385</v>
      </c>
      <c r="B94" s="23" t="s">
        <v>306</v>
      </c>
      <c r="C94" s="23" t="s">
        <v>386</v>
      </c>
      <c r="D94" s="23"/>
      <c r="E94" s="24">
        <f>E95</f>
        <v>77.141999999999996</v>
      </c>
    </row>
    <row r="95" spans="1:5" ht="15.75" x14ac:dyDescent="0.25">
      <c r="A95" s="26" t="s">
        <v>321</v>
      </c>
      <c r="B95" s="27" t="s">
        <v>306</v>
      </c>
      <c r="C95" s="27" t="s">
        <v>386</v>
      </c>
      <c r="D95" s="27" t="s">
        <v>322</v>
      </c>
      <c r="E95" s="28">
        <f>88.142-11</f>
        <v>77.141999999999996</v>
      </c>
    </row>
    <row r="96" spans="1:5" ht="31.5" x14ac:dyDescent="0.25">
      <c r="A96" s="22" t="s">
        <v>387</v>
      </c>
      <c r="B96" s="23" t="s">
        <v>306</v>
      </c>
      <c r="C96" s="23" t="s">
        <v>388</v>
      </c>
      <c r="D96" s="23"/>
      <c r="E96" s="24">
        <v>108.86799999999999</v>
      </c>
    </row>
    <row r="97" spans="1:5" ht="15.75" x14ac:dyDescent="0.25">
      <c r="A97" s="26" t="s">
        <v>321</v>
      </c>
      <c r="B97" s="27" t="s">
        <v>306</v>
      </c>
      <c r="C97" s="27" t="s">
        <v>388</v>
      </c>
      <c r="D97" s="27" t="s">
        <v>322</v>
      </c>
      <c r="E97" s="28">
        <v>108.86799999999999</v>
      </c>
    </row>
    <row r="98" spans="1:5" ht="31.5" x14ac:dyDescent="0.25">
      <c r="A98" s="22" t="s">
        <v>389</v>
      </c>
      <c r="B98" s="23" t="s">
        <v>306</v>
      </c>
      <c r="C98" s="23" t="s">
        <v>390</v>
      </c>
      <c r="D98" s="23"/>
      <c r="E98" s="24">
        <f>E99</f>
        <v>0</v>
      </c>
    </row>
    <row r="99" spans="1:5" ht="15.75" x14ac:dyDescent="0.25">
      <c r="A99" s="26" t="s">
        <v>297</v>
      </c>
      <c r="B99" s="27" t="s">
        <v>306</v>
      </c>
      <c r="C99" s="27" t="s">
        <v>390</v>
      </c>
      <c r="D99" s="27" t="s">
        <v>298</v>
      </c>
      <c r="E99" s="28">
        <f>1000-1000</f>
        <v>0</v>
      </c>
    </row>
    <row r="100" spans="1:5" ht="31.5" x14ac:dyDescent="0.25">
      <c r="A100" s="22" t="s">
        <v>389</v>
      </c>
      <c r="B100" s="23" t="s">
        <v>306</v>
      </c>
      <c r="C100" s="23" t="s">
        <v>391</v>
      </c>
      <c r="D100" s="23"/>
      <c r="E100" s="24">
        <f>E101</f>
        <v>25</v>
      </c>
    </row>
    <row r="101" spans="1:5" ht="15.75" x14ac:dyDescent="0.25">
      <c r="A101" s="26" t="s">
        <v>321</v>
      </c>
      <c r="B101" s="27" t="s">
        <v>306</v>
      </c>
      <c r="C101" s="27" t="s">
        <v>391</v>
      </c>
      <c r="D101" s="27" t="s">
        <v>322</v>
      </c>
      <c r="E101" s="28">
        <f>50-25</f>
        <v>25</v>
      </c>
    </row>
    <row r="102" spans="1:5" ht="15.75" x14ac:dyDescent="0.25">
      <c r="A102" s="22" t="s">
        <v>392</v>
      </c>
      <c r="B102" s="23" t="s">
        <v>306</v>
      </c>
      <c r="C102" s="23" t="s">
        <v>393</v>
      </c>
      <c r="D102" s="23"/>
      <c r="E102" s="24">
        <f>E103</f>
        <v>247</v>
      </c>
    </row>
    <row r="103" spans="1:5" ht="15.75" x14ac:dyDescent="0.25">
      <c r="A103" s="26" t="s">
        <v>297</v>
      </c>
      <c r="B103" s="27" t="s">
        <v>306</v>
      </c>
      <c r="C103" s="27" t="s">
        <v>393</v>
      </c>
      <c r="D103" s="27" t="s">
        <v>298</v>
      </c>
      <c r="E103" s="28">
        <f>443-196</f>
        <v>247</v>
      </c>
    </row>
    <row r="104" spans="1:5" ht="31.5" x14ac:dyDescent="0.25">
      <c r="A104" s="22" t="s">
        <v>394</v>
      </c>
      <c r="B104" s="23" t="s">
        <v>306</v>
      </c>
      <c r="C104" s="23" t="s">
        <v>395</v>
      </c>
      <c r="D104" s="23"/>
      <c r="E104" s="24">
        <f>E105+E110+E113+E116</f>
        <v>39134.245999999999</v>
      </c>
    </row>
    <row r="105" spans="1:5" ht="15.75" x14ac:dyDescent="0.25">
      <c r="A105" s="22" t="s">
        <v>396</v>
      </c>
      <c r="B105" s="23" t="s">
        <v>306</v>
      </c>
      <c r="C105" s="23" t="s">
        <v>397</v>
      </c>
      <c r="D105" s="23"/>
      <c r="E105" s="24">
        <f>E106+E108</f>
        <v>0</v>
      </c>
    </row>
    <row r="106" spans="1:5" ht="15.75" x14ac:dyDescent="0.25">
      <c r="A106" s="22" t="s">
        <v>398</v>
      </c>
      <c r="B106" s="23" t="s">
        <v>306</v>
      </c>
      <c r="C106" s="23" t="s">
        <v>399</v>
      </c>
      <c r="D106" s="23"/>
      <c r="E106" s="24">
        <f>E107</f>
        <v>0</v>
      </c>
    </row>
    <row r="107" spans="1:5" ht="15.75" x14ac:dyDescent="0.25">
      <c r="A107" s="26" t="s">
        <v>297</v>
      </c>
      <c r="B107" s="27" t="s">
        <v>306</v>
      </c>
      <c r="C107" s="27" t="s">
        <v>399</v>
      </c>
      <c r="D107" s="27" t="s">
        <v>298</v>
      </c>
      <c r="E107" s="28">
        <f>5-5</f>
        <v>0</v>
      </c>
    </row>
    <row r="108" spans="1:5" ht="15.75" x14ac:dyDescent="0.25">
      <c r="A108" s="22" t="s">
        <v>400</v>
      </c>
      <c r="B108" s="23" t="s">
        <v>306</v>
      </c>
      <c r="C108" s="23" t="s">
        <v>401</v>
      </c>
      <c r="D108" s="23"/>
      <c r="E108" s="24">
        <f>E109</f>
        <v>0</v>
      </c>
    </row>
    <row r="109" spans="1:5" ht="15.75" x14ac:dyDescent="0.25">
      <c r="A109" s="26" t="s">
        <v>297</v>
      </c>
      <c r="B109" s="27" t="s">
        <v>306</v>
      </c>
      <c r="C109" s="27" t="s">
        <v>401</v>
      </c>
      <c r="D109" s="27" t="s">
        <v>298</v>
      </c>
      <c r="E109" s="28">
        <f>5-5</f>
        <v>0</v>
      </c>
    </row>
    <row r="110" spans="1:5" ht="15.75" x14ac:dyDescent="0.25">
      <c r="A110" s="22" t="s">
        <v>402</v>
      </c>
      <c r="B110" s="23" t="s">
        <v>306</v>
      </c>
      <c r="C110" s="23" t="s">
        <v>403</v>
      </c>
      <c r="D110" s="23"/>
      <c r="E110" s="24">
        <f>E111</f>
        <v>0</v>
      </c>
    </row>
    <row r="111" spans="1:5" ht="15.75" x14ac:dyDescent="0.25">
      <c r="A111" s="22" t="s">
        <v>404</v>
      </c>
      <c r="B111" s="23" t="s">
        <v>306</v>
      </c>
      <c r="C111" s="23" t="s">
        <v>405</v>
      </c>
      <c r="D111" s="23"/>
      <c r="E111" s="24">
        <f>E112</f>
        <v>0</v>
      </c>
    </row>
    <row r="112" spans="1:5" ht="15.75" x14ac:dyDescent="0.25">
      <c r="A112" s="26" t="s">
        <v>297</v>
      </c>
      <c r="B112" s="27" t="s">
        <v>306</v>
      </c>
      <c r="C112" s="27" t="s">
        <v>405</v>
      </c>
      <c r="D112" s="27" t="s">
        <v>298</v>
      </c>
      <c r="E112" s="28">
        <f>10-10</f>
        <v>0</v>
      </c>
    </row>
    <row r="113" spans="1:5" ht="15.75" x14ac:dyDescent="0.25">
      <c r="A113" s="22" t="s">
        <v>406</v>
      </c>
      <c r="B113" s="23" t="s">
        <v>306</v>
      </c>
      <c r="C113" s="23" t="s">
        <v>407</v>
      </c>
      <c r="D113" s="23"/>
      <c r="E113" s="24">
        <f>E114</f>
        <v>0</v>
      </c>
    </row>
    <row r="114" spans="1:5" ht="31.5" x14ac:dyDescent="0.25">
      <c r="A114" s="22" t="s">
        <v>408</v>
      </c>
      <c r="B114" s="23" t="s">
        <v>306</v>
      </c>
      <c r="C114" s="23" t="s">
        <v>409</v>
      </c>
      <c r="D114" s="23"/>
      <c r="E114" s="24">
        <f>E115</f>
        <v>0</v>
      </c>
    </row>
    <row r="115" spans="1:5" ht="15.75" x14ac:dyDescent="0.25">
      <c r="A115" s="26" t="s">
        <v>297</v>
      </c>
      <c r="B115" s="27" t="s">
        <v>306</v>
      </c>
      <c r="C115" s="27" t="s">
        <v>409</v>
      </c>
      <c r="D115" s="27" t="s">
        <v>298</v>
      </c>
      <c r="E115" s="28">
        <f>20-20</f>
        <v>0</v>
      </c>
    </row>
    <row r="116" spans="1:5" ht="15.75" x14ac:dyDescent="0.25">
      <c r="A116" s="22" t="s">
        <v>410</v>
      </c>
      <c r="B116" s="23" t="s">
        <v>306</v>
      </c>
      <c r="C116" s="23" t="s">
        <v>411</v>
      </c>
      <c r="D116" s="23"/>
      <c r="E116" s="24">
        <f>E117</f>
        <v>39134.245999999999</v>
      </c>
    </row>
    <row r="117" spans="1:5" ht="31.5" x14ac:dyDescent="0.25">
      <c r="A117" s="22" t="s">
        <v>412</v>
      </c>
      <c r="B117" s="23" t="s">
        <v>306</v>
      </c>
      <c r="C117" s="23" t="s">
        <v>413</v>
      </c>
      <c r="D117" s="23"/>
      <c r="E117" s="24">
        <f>E118+E119+E120</f>
        <v>39134.245999999999</v>
      </c>
    </row>
    <row r="118" spans="1:5" ht="47.25" x14ac:dyDescent="0.25">
      <c r="A118" s="26" t="s">
        <v>293</v>
      </c>
      <c r="B118" s="27" t="s">
        <v>306</v>
      </c>
      <c r="C118" s="27" t="s">
        <v>413</v>
      </c>
      <c r="D118" s="27" t="s">
        <v>294</v>
      </c>
      <c r="E118" s="18">
        <f>-4.3+31137.511+2469.865+745.899-2.2-36.217-9.25-78.12</f>
        <v>34223.188000000002</v>
      </c>
    </row>
    <row r="119" spans="1:5" ht="15.75" x14ac:dyDescent="0.25">
      <c r="A119" s="26" t="s">
        <v>297</v>
      </c>
      <c r="B119" s="27" t="s">
        <v>306</v>
      </c>
      <c r="C119" s="27" t="s">
        <v>413</v>
      </c>
      <c r="D119" s="27" t="s">
        <v>298</v>
      </c>
      <c r="E119" s="28">
        <f>5768.5-46.033-50-550-99.673-5.425-29.311-20-163</f>
        <v>4805.058</v>
      </c>
    </row>
    <row r="120" spans="1:5" ht="15.75" x14ac:dyDescent="0.25">
      <c r="A120" s="26" t="s">
        <v>315</v>
      </c>
      <c r="B120" s="27" t="s">
        <v>306</v>
      </c>
      <c r="C120" s="27" t="s">
        <v>413</v>
      </c>
      <c r="D120" s="27" t="s">
        <v>316</v>
      </c>
      <c r="E120" s="28">
        <f>146-40</f>
        <v>106</v>
      </c>
    </row>
    <row r="121" spans="1:5" ht="31.5" x14ac:dyDescent="0.25">
      <c r="A121" s="22" t="s">
        <v>414</v>
      </c>
      <c r="B121" s="23" t="s">
        <v>306</v>
      </c>
      <c r="C121" s="23" t="s">
        <v>415</v>
      </c>
      <c r="D121" s="23"/>
      <c r="E121" s="24">
        <f>E122+E128+E135</f>
        <v>1659.932</v>
      </c>
    </row>
    <row r="122" spans="1:5" ht="15.75" x14ac:dyDescent="0.25">
      <c r="A122" s="22" t="s">
        <v>416</v>
      </c>
      <c r="B122" s="23" t="s">
        <v>306</v>
      </c>
      <c r="C122" s="23" t="s">
        <v>417</v>
      </c>
      <c r="D122" s="23"/>
      <c r="E122" s="24">
        <f>E123+E126</f>
        <v>417.96100000000001</v>
      </c>
    </row>
    <row r="123" spans="1:5" ht="31.5" x14ac:dyDescent="0.25">
      <c r="A123" s="22" t="s">
        <v>418</v>
      </c>
      <c r="B123" s="23" t="s">
        <v>306</v>
      </c>
      <c r="C123" s="23" t="s">
        <v>419</v>
      </c>
      <c r="D123" s="23"/>
      <c r="E123" s="24">
        <f>E124+E125</f>
        <v>414.96100000000001</v>
      </c>
    </row>
    <row r="124" spans="1:5" ht="47.25" x14ac:dyDescent="0.25">
      <c r="A124" s="26" t="s">
        <v>293</v>
      </c>
      <c r="B124" s="27" t="s">
        <v>306</v>
      </c>
      <c r="C124" s="27" t="s">
        <v>419</v>
      </c>
      <c r="D124" s="27" t="s">
        <v>294</v>
      </c>
      <c r="E124" s="24">
        <v>55.284999999999997</v>
      </c>
    </row>
    <row r="125" spans="1:5" ht="15.75" x14ac:dyDescent="0.25">
      <c r="A125" s="26" t="s">
        <v>297</v>
      </c>
      <c r="B125" s="27" t="s">
        <v>306</v>
      </c>
      <c r="C125" s="27" t="s">
        <v>419</v>
      </c>
      <c r="D125" s="27" t="s">
        <v>298</v>
      </c>
      <c r="E125" s="28">
        <f>411.254-55.285+3.746-0.039</f>
        <v>359.67600000000004</v>
      </c>
    </row>
    <row r="126" spans="1:5" ht="15.75" x14ac:dyDescent="0.25">
      <c r="A126" s="22" t="s">
        <v>420</v>
      </c>
      <c r="B126" s="23" t="s">
        <v>306</v>
      </c>
      <c r="C126" s="23" t="s">
        <v>421</v>
      </c>
      <c r="D126" s="23"/>
      <c r="E126" s="24">
        <v>3</v>
      </c>
    </row>
    <row r="127" spans="1:5" ht="15.75" x14ac:dyDescent="0.25">
      <c r="A127" s="26" t="s">
        <v>297</v>
      </c>
      <c r="B127" s="27" t="s">
        <v>306</v>
      </c>
      <c r="C127" s="27" t="s">
        <v>421</v>
      </c>
      <c r="D127" s="27" t="s">
        <v>298</v>
      </c>
      <c r="E127" s="28">
        <v>3</v>
      </c>
    </row>
    <row r="128" spans="1:5" ht="15.75" x14ac:dyDescent="0.25">
      <c r="A128" s="22" t="s">
        <v>422</v>
      </c>
      <c r="B128" s="23" t="s">
        <v>306</v>
      </c>
      <c r="C128" s="23" t="s">
        <v>423</v>
      </c>
      <c r="D128" s="23"/>
      <c r="E128" s="24">
        <f>1230-0.58-1.376</f>
        <v>1228.0440000000001</v>
      </c>
    </row>
    <row r="129" spans="1:5" ht="31.5" x14ac:dyDescent="0.25">
      <c r="A129" s="22" t="s">
        <v>424</v>
      </c>
      <c r="B129" s="23" t="s">
        <v>306</v>
      </c>
      <c r="C129" s="23" t="s">
        <v>425</v>
      </c>
      <c r="D129" s="23"/>
      <c r="E129" s="24">
        <v>30</v>
      </c>
    </row>
    <row r="130" spans="1:5" ht="15.75" x14ac:dyDescent="0.25">
      <c r="A130" s="26" t="s">
        <v>297</v>
      </c>
      <c r="B130" s="27" t="s">
        <v>306</v>
      </c>
      <c r="C130" s="27" t="s">
        <v>425</v>
      </c>
      <c r="D130" s="27" t="s">
        <v>298</v>
      </c>
      <c r="E130" s="28">
        <v>30</v>
      </c>
    </row>
    <row r="131" spans="1:5" ht="15.75" x14ac:dyDescent="0.25">
      <c r="A131" s="22" t="s">
        <v>426</v>
      </c>
      <c r="B131" s="23" t="s">
        <v>306</v>
      </c>
      <c r="C131" s="23" t="s">
        <v>427</v>
      </c>
      <c r="D131" s="23"/>
      <c r="E131" s="24">
        <f>E132</f>
        <v>299.42</v>
      </c>
    </row>
    <row r="132" spans="1:5" ht="15.75" x14ac:dyDescent="0.25">
      <c r="A132" s="26" t="s">
        <v>321</v>
      </c>
      <c r="B132" s="27" t="s">
        <v>306</v>
      </c>
      <c r="C132" s="27" t="s">
        <v>427</v>
      </c>
      <c r="D132" s="27" t="s">
        <v>322</v>
      </c>
      <c r="E132" s="28">
        <f>300-0.58</f>
        <v>299.42</v>
      </c>
    </row>
    <row r="133" spans="1:5" ht="31.5" x14ac:dyDescent="0.25">
      <c r="A133" s="22" t="s">
        <v>428</v>
      </c>
      <c r="B133" s="23" t="s">
        <v>306</v>
      </c>
      <c r="C133" s="23" t="s">
        <v>429</v>
      </c>
      <c r="D133" s="23"/>
      <c r="E133" s="24">
        <f>E134</f>
        <v>898.62400000000002</v>
      </c>
    </row>
    <row r="134" spans="1:5" ht="15.75" x14ac:dyDescent="0.25">
      <c r="A134" s="26" t="s">
        <v>321</v>
      </c>
      <c r="B134" s="27" t="s">
        <v>306</v>
      </c>
      <c r="C134" s="27" t="s">
        <v>429</v>
      </c>
      <c r="D134" s="27" t="s">
        <v>322</v>
      </c>
      <c r="E134" s="28">
        <f>900-1.376</f>
        <v>898.62400000000002</v>
      </c>
    </row>
    <row r="135" spans="1:5" ht="15.75" x14ac:dyDescent="0.25">
      <c r="A135" s="22" t="s">
        <v>430</v>
      </c>
      <c r="B135" s="23" t="s">
        <v>306</v>
      </c>
      <c r="C135" s="23" t="s">
        <v>431</v>
      </c>
      <c r="D135" s="23"/>
      <c r="E135" s="24">
        <f>E136+E138</f>
        <v>13.927</v>
      </c>
    </row>
    <row r="136" spans="1:5" ht="15.75" x14ac:dyDescent="0.25">
      <c r="A136" s="22" t="s">
        <v>432</v>
      </c>
      <c r="B136" s="23" t="s">
        <v>306</v>
      </c>
      <c r="C136" s="23" t="s">
        <v>433</v>
      </c>
      <c r="D136" s="23"/>
      <c r="E136" s="24">
        <f>E137</f>
        <v>0.5</v>
      </c>
    </row>
    <row r="137" spans="1:5" ht="15.75" x14ac:dyDescent="0.25">
      <c r="A137" s="26" t="s">
        <v>321</v>
      </c>
      <c r="B137" s="27" t="s">
        <v>306</v>
      </c>
      <c r="C137" s="27" t="s">
        <v>433</v>
      </c>
      <c r="D137" s="27" t="s">
        <v>322</v>
      </c>
      <c r="E137" s="28">
        <f>1-0.5</f>
        <v>0.5</v>
      </c>
    </row>
    <row r="138" spans="1:5" ht="15.75" x14ac:dyDescent="0.25">
      <c r="A138" s="22" t="s">
        <v>434</v>
      </c>
      <c r="B138" s="23" t="s">
        <v>306</v>
      </c>
      <c r="C138" s="23" t="s">
        <v>435</v>
      </c>
      <c r="D138" s="23"/>
      <c r="E138" s="24">
        <f>E139</f>
        <v>13.427</v>
      </c>
    </row>
    <row r="139" spans="1:5" ht="15.75" x14ac:dyDescent="0.25">
      <c r="A139" s="26" t="s">
        <v>321</v>
      </c>
      <c r="B139" s="27" t="s">
        <v>306</v>
      </c>
      <c r="C139" s="27" t="s">
        <v>435</v>
      </c>
      <c r="D139" s="27" t="s">
        <v>322</v>
      </c>
      <c r="E139" s="28">
        <f>31-17.573</f>
        <v>13.427</v>
      </c>
    </row>
    <row r="140" spans="1:5" ht="15.75" x14ac:dyDescent="0.25">
      <c r="A140" s="22" t="s">
        <v>436</v>
      </c>
      <c r="B140" s="23" t="s">
        <v>306</v>
      </c>
      <c r="C140" s="23" t="s">
        <v>437</v>
      </c>
      <c r="D140" s="23"/>
      <c r="E140" s="24">
        <f>E141</f>
        <v>498</v>
      </c>
    </row>
    <row r="141" spans="1:5" ht="31.5" x14ac:dyDescent="0.25">
      <c r="A141" s="22" t="s">
        <v>438</v>
      </c>
      <c r="B141" s="23" t="s">
        <v>306</v>
      </c>
      <c r="C141" s="23" t="s">
        <v>439</v>
      </c>
      <c r="D141" s="23"/>
      <c r="E141" s="24">
        <f>630-30-7-35-45-15</f>
        <v>498</v>
      </c>
    </row>
    <row r="142" spans="1:5" ht="31.5" x14ac:dyDescent="0.25">
      <c r="A142" s="22" t="s">
        <v>440</v>
      </c>
      <c r="B142" s="23" t="s">
        <v>306</v>
      </c>
      <c r="C142" s="23" t="s">
        <v>441</v>
      </c>
      <c r="D142" s="23"/>
      <c r="E142" s="24">
        <f>E143</f>
        <v>3</v>
      </c>
    </row>
    <row r="143" spans="1:5" ht="15.75" x14ac:dyDescent="0.25">
      <c r="A143" s="26" t="s">
        <v>374</v>
      </c>
      <c r="B143" s="27" t="s">
        <v>306</v>
      </c>
      <c r="C143" s="27" t="s">
        <v>441</v>
      </c>
      <c r="D143" s="27" t="s">
        <v>375</v>
      </c>
      <c r="E143" s="28">
        <f>40-30-7</f>
        <v>3</v>
      </c>
    </row>
    <row r="144" spans="1:5" ht="15.75" x14ac:dyDescent="0.25">
      <c r="A144" s="22" t="s">
        <v>442</v>
      </c>
      <c r="B144" s="23" t="s">
        <v>306</v>
      </c>
      <c r="C144" s="23" t="s">
        <v>443</v>
      </c>
      <c r="D144" s="23"/>
      <c r="E144" s="24">
        <f>E145</f>
        <v>0</v>
      </c>
    </row>
    <row r="145" spans="1:5" ht="15.75" x14ac:dyDescent="0.25">
      <c r="A145" s="26" t="s">
        <v>297</v>
      </c>
      <c r="B145" s="27" t="s">
        <v>306</v>
      </c>
      <c r="C145" s="27" t="s">
        <v>443</v>
      </c>
      <c r="D145" s="27" t="s">
        <v>298</v>
      </c>
      <c r="E145" s="28">
        <f>50-35-15</f>
        <v>0</v>
      </c>
    </row>
    <row r="146" spans="1:5" ht="15.75" x14ac:dyDescent="0.25">
      <c r="A146" s="22" t="s">
        <v>444</v>
      </c>
      <c r="B146" s="23" t="s">
        <v>306</v>
      </c>
      <c r="C146" s="23" t="s">
        <v>445</v>
      </c>
      <c r="D146" s="23"/>
      <c r="E146" s="24">
        <f>E147</f>
        <v>425</v>
      </c>
    </row>
    <row r="147" spans="1:5" ht="31.5" x14ac:dyDescent="0.25">
      <c r="A147" s="26" t="s">
        <v>446</v>
      </c>
      <c r="B147" s="27" t="s">
        <v>306</v>
      </c>
      <c r="C147" s="27" t="s">
        <v>445</v>
      </c>
      <c r="D147" s="27" t="s">
        <v>447</v>
      </c>
      <c r="E147" s="28">
        <f>470-45</f>
        <v>425</v>
      </c>
    </row>
    <row r="148" spans="1:5" ht="15.75" x14ac:dyDescent="0.25">
      <c r="A148" s="22" t="s">
        <v>448</v>
      </c>
      <c r="B148" s="23" t="s">
        <v>306</v>
      </c>
      <c r="C148" s="23" t="s">
        <v>449</v>
      </c>
      <c r="D148" s="23"/>
      <c r="E148" s="24">
        <v>70</v>
      </c>
    </row>
    <row r="149" spans="1:5" ht="31.5" x14ac:dyDescent="0.25">
      <c r="A149" s="26" t="s">
        <v>446</v>
      </c>
      <c r="B149" s="27" t="s">
        <v>306</v>
      </c>
      <c r="C149" s="27" t="s">
        <v>449</v>
      </c>
      <c r="D149" s="27" t="s">
        <v>447</v>
      </c>
      <c r="E149" s="28">
        <v>70</v>
      </c>
    </row>
    <row r="150" spans="1:5" ht="15.75" x14ac:dyDescent="0.25">
      <c r="A150" s="22" t="s">
        <v>287</v>
      </c>
      <c r="B150" s="23" t="s">
        <v>306</v>
      </c>
      <c r="C150" s="23" t="s">
        <v>288</v>
      </c>
      <c r="D150" s="23"/>
      <c r="E150" s="24">
        <f>E151</f>
        <v>27770.129849999998</v>
      </c>
    </row>
    <row r="151" spans="1:5" ht="15.75" x14ac:dyDescent="0.25">
      <c r="A151" s="22" t="s">
        <v>289</v>
      </c>
      <c r="B151" s="23" t="s">
        <v>306</v>
      </c>
      <c r="C151" s="23" t="s">
        <v>290</v>
      </c>
      <c r="D151" s="23"/>
      <c r="E151" s="24">
        <f>E152+E155+E157+E159+E161+E164+E167+E170+E173+E175</f>
        <v>27770.129849999998</v>
      </c>
    </row>
    <row r="152" spans="1:5" ht="31.5" x14ac:dyDescent="0.25">
      <c r="A152" s="22" t="s">
        <v>450</v>
      </c>
      <c r="B152" s="23" t="s">
        <v>306</v>
      </c>
      <c r="C152" s="23" t="s">
        <v>451</v>
      </c>
      <c r="D152" s="23"/>
      <c r="E152" s="24">
        <f>E153+E154</f>
        <v>3276.27</v>
      </c>
    </row>
    <row r="153" spans="1:5" ht="47.25" x14ac:dyDescent="0.25">
      <c r="A153" s="26" t="s">
        <v>293</v>
      </c>
      <c r="B153" s="27" t="s">
        <v>306</v>
      </c>
      <c r="C153" s="27" t="s">
        <v>451</v>
      </c>
      <c r="D153" s="27" t="s">
        <v>294</v>
      </c>
      <c r="E153" s="28">
        <f>56.462+856.217+2315.171+4.3-34+78.12</f>
        <v>3276.27</v>
      </c>
    </row>
    <row r="154" spans="1:5" ht="15.75" x14ac:dyDescent="0.25">
      <c r="A154" s="26" t="s">
        <v>297</v>
      </c>
      <c r="B154" s="27" t="s">
        <v>306</v>
      </c>
      <c r="C154" s="27" t="s">
        <v>451</v>
      </c>
      <c r="D154" s="27" t="s">
        <v>298</v>
      </c>
      <c r="E154" s="28">
        <v>0</v>
      </c>
    </row>
    <row r="155" spans="1:5" ht="15.75" x14ac:dyDescent="0.25">
      <c r="A155" s="22" t="s">
        <v>452</v>
      </c>
      <c r="B155" s="23" t="s">
        <v>306</v>
      </c>
      <c r="C155" s="23" t="s">
        <v>453</v>
      </c>
      <c r="D155" s="23"/>
      <c r="E155" s="24">
        <f>E156</f>
        <v>1578.13185</v>
      </c>
    </row>
    <row r="156" spans="1:5" ht="15.75" x14ac:dyDescent="0.25">
      <c r="A156" s="26" t="s">
        <v>315</v>
      </c>
      <c r="B156" s="27" t="s">
        <v>306</v>
      </c>
      <c r="C156" s="27" t="s">
        <v>453</v>
      </c>
      <c r="D156" s="27" t="s">
        <v>316</v>
      </c>
      <c r="E156" s="28">
        <f>-0.04115+1578.173</f>
        <v>1578.13185</v>
      </c>
    </row>
    <row r="157" spans="1:5" ht="31.5" x14ac:dyDescent="0.25">
      <c r="A157" s="22" t="s">
        <v>454</v>
      </c>
      <c r="B157" s="23" t="s">
        <v>306</v>
      </c>
      <c r="C157" s="23" t="s">
        <v>455</v>
      </c>
      <c r="D157" s="23"/>
      <c r="E157" s="24">
        <v>12.3</v>
      </c>
    </row>
    <row r="158" spans="1:5" ht="15.75" x14ac:dyDescent="0.25">
      <c r="A158" s="26" t="s">
        <v>297</v>
      </c>
      <c r="B158" s="27" t="s">
        <v>306</v>
      </c>
      <c r="C158" s="27" t="s">
        <v>455</v>
      </c>
      <c r="D158" s="27" t="s">
        <v>298</v>
      </c>
      <c r="E158" s="28">
        <v>12.3</v>
      </c>
    </row>
    <row r="159" spans="1:5" ht="31.5" x14ac:dyDescent="0.25">
      <c r="A159" s="22" t="s">
        <v>295</v>
      </c>
      <c r="B159" s="23" t="s">
        <v>306</v>
      </c>
      <c r="C159" s="23" t="s">
        <v>296</v>
      </c>
      <c r="D159" s="23"/>
      <c r="E159" s="24">
        <v>1.633</v>
      </c>
    </row>
    <row r="160" spans="1:5" ht="15.75" x14ac:dyDescent="0.25">
      <c r="A160" s="26" t="s">
        <v>297</v>
      </c>
      <c r="B160" s="27" t="s">
        <v>306</v>
      </c>
      <c r="C160" s="27" t="s">
        <v>296</v>
      </c>
      <c r="D160" s="27" t="s">
        <v>298</v>
      </c>
      <c r="E160" s="28">
        <v>1.633</v>
      </c>
    </row>
    <row r="161" spans="1:5" ht="63" x14ac:dyDescent="0.25">
      <c r="A161" s="22" t="s">
        <v>456</v>
      </c>
      <c r="B161" s="23" t="s">
        <v>306</v>
      </c>
      <c r="C161" s="23" t="s">
        <v>457</v>
      </c>
      <c r="D161" s="23"/>
      <c r="E161" s="24">
        <f>E162+E163</f>
        <v>12.200000000000001</v>
      </c>
    </row>
    <row r="162" spans="1:5" ht="47.25" x14ac:dyDescent="0.25">
      <c r="A162" s="26" t="s">
        <v>293</v>
      </c>
      <c r="B162" s="27" t="s">
        <v>306</v>
      </c>
      <c r="C162" s="27" t="s">
        <v>457</v>
      </c>
      <c r="D162" s="27" t="s">
        <v>294</v>
      </c>
      <c r="E162" s="24">
        <v>11.9</v>
      </c>
    </row>
    <row r="163" spans="1:5" ht="15.75" x14ac:dyDescent="0.25">
      <c r="A163" s="26" t="s">
        <v>297</v>
      </c>
      <c r="B163" s="27" t="s">
        <v>306</v>
      </c>
      <c r="C163" s="27" t="s">
        <v>457</v>
      </c>
      <c r="D163" s="27" t="s">
        <v>298</v>
      </c>
      <c r="E163" s="28">
        <f>11.4-11.1</f>
        <v>0.30000000000000071</v>
      </c>
    </row>
    <row r="164" spans="1:5" ht="63" x14ac:dyDescent="0.25">
      <c r="A164" s="22" t="s">
        <v>458</v>
      </c>
      <c r="B164" s="23" t="s">
        <v>306</v>
      </c>
      <c r="C164" s="23" t="s">
        <v>459</v>
      </c>
      <c r="D164" s="23"/>
      <c r="E164" s="24">
        <f>E165+E166</f>
        <v>64.546000000000006</v>
      </c>
    </row>
    <row r="165" spans="1:5" ht="47.25" x14ac:dyDescent="0.25">
      <c r="A165" s="26" t="s">
        <v>293</v>
      </c>
      <c r="B165" s="27" t="s">
        <v>306</v>
      </c>
      <c r="C165" s="27" t="s">
        <v>459</v>
      </c>
      <c r="D165" s="27" t="s">
        <v>294</v>
      </c>
      <c r="E165" s="28">
        <f>55.34+3.662</f>
        <v>59.002000000000002</v>
      </c>
    </row>
    <row r="166" spans="1:5" ht="15.75" x14ac:dyDescent="0.25">
      <c r="A166" s="26" t="s">
        <v>297</v>
      </c>
      <c r="B166" s="27" t="s">
        <v>306</v>
      </c>
      <c r="C166" s="27" t="s">
        <v>459</v>
      </c>
      <c r="D166" s="27" t="s">
        <v>298</v>
      </c>
      <c r="E166" s="28">
        <f>0.046+5.498</f>
        <v>5.5440000000000005</v>
      </c>
    </row>
    <row r="167" spans="1:5" ht="110.25" x14ac:dyDescent="0.25">
      <c r="A167" s="25" t="s">
        <v>460</v>
      </c>
      <c r="B167" s="23" t="s">
        <v>306</v>
      </c>
      <c r="C167" s="23" t="s">
        <v>461</v>
      </c>
      <c r="D167" s="23"/>
      <c r="E167" s="24">
        <f>E168+E169</f>
        <v>170.35899999999998</v>
      </c>
    </row>
    <row r="168" spans="1:5" ht="47.25" x14ac:dyDescent="0.25">
      <c r="A168" s="26" t="s">
        <v>293</v>
      </c>
      <c r="B168" s="27" t="s">
        <v>306</v>
      </c>
      <c r="C168" s="27" t="s">
        <v>461</v>
      </c>
      <c r="D168" s="27" t="s">
        <v>294</v>
      </c>
      <c r="E168" s="28">
        <v>162.64599999999999</v>
      </c>
    </row>
    <row r="169" spans="1:5" ht="15.75" x14ac:dyDescent="0.25">
      <c r="A169" s="26" t="s">
        <v>297</v>
      </c>
      <c r="B169" s="27" t="s">
        <v>306</v>
      </c>
      <c r="C169" s="27" t="s">
        <v>461</v>
      </c>
      <c r="D169" s="27" t="s">
        <v>298</v>
      </c>
      <c r="E169" s="28">
        <f>-0.041+7.754</f>
        <v>7.7129999999999992</v>
      </c>
    </row>
    <row r="170" spans="1:5" ht="78.75" x14ac:dyDescent="0.25">
      <c r="A170" s="25" t="s">
        <v>462</v>
      </c>
      <c r="B170" s="23" t="s">
        <v>306</v>
      </c>
      <c r="C170" s="23" t="s">
        <v>463</v>
      </c>
      <c r="D170" s="23"/>
      <c r="E170" s="24">
        <f>E172+E171</f>
        <v>4.2</v>
      </c>
    </row>
    <row r="171" spans="1:5" ht="47.25" x14ac:dyDescent="0.25">
      <c r="A171" s="26" t="s">
        <v>293</v>
      </c>
      <c r="B171" s="27" t="s">
        <v>306</v>
      </c>
      <c r="C171" s="27" t="s">
        <v>463</v>
      </c>
      <c r="D171" s="20" t="s">
        <v>294</v>
      </c>
      <c r="E171" s="24">
        <v>3.9060000000000001</v>
      </c>
    </row>
    <row r="172" spans="1:5" ht="15.75" x14ac:dyDescent="0.25">
      <c r="A172" s="26" t="s">
        <v>297</v>
      </c>
      <c r="B172" s="27" t="s">
        <v>306</v>
      </c>
      <c r="C172" s="27" t="s">
        <v>463</v>
      </c>
      <c r="D172" s="27" t="s">
        <v>298</v>
      </c>
      <c r="E172" s="28">
        <f>-3.906+4.2</f>
        <v>0.29400000000000004</v>
      </c>
    </row>
    <row r="173" spans="1:5" ht="31.5" x14ac:dyDescent="0.25">
      <c r="A173" s="22" t="s">
        <v>464</v>
      </c>
      <c r="B173" s="23" t="s">
        <v>306</v>
      </c>
      <c r="C173" s="23" t="s">
        <v>465</v>
      </c>
      <c r="D173" s="23"/>
      <c r="E173" s="24">
        <v>1500</v>
      </c>
    </row>
    <row r="174" spans="1:5" ht="15.75" x14ac:dyDescent="0.25">
      <c r="A174" s="26" t="s">
        <v>315</v>
      </c>
      <c r="B174" s="27" t="s">
        <v>306</v>
      </c>
      <c r="C174" s="27" t="s">
        <v>465</v>
      </c>
      <c r="D174" s="27" t="s">
        <v>316</v>
      </c>
      <c r="E174" s="28">
        <v>1500</v>
      </c>
    </row>
    <row r="175" spans="1:5" ht="15.75" x14ac:dyDescent="0.25">
      <c r="A175" s="22" t="s">
        <v>303</v>
      </c>
      <c r="B175" s="23" t="s">
        <v>306</v>
      </c>
      <c r="C175" s="23" t="s">
        <v>304</v>
      </c>
      <c r="D175" s="23"/>
      <c r="E175" s="24">
        <f>E176+E177+E178</f>
        <v>21150.489999999998</v>
      </c>
    </row>
    <row r="176" spans="1:5" ht="15.75" x14ac:dyDescent="0.25">
      <c r="A176" s="26" t="s">
        <v>297</v>
      </c>
      <c r="B176" s="27" t="s">
        <v>306</v>
      </c>
      <c r="C176" s="27" t="s">
        <v>304</v>
      </c>
      <c r="D176" s="27" t="s">
        <v>298</v>
      </c>
      <c r="E176" s="28">
        <f>620-117.474-11.935-40-42.137+0.001</f>
        <v>408.45499999999998</v>
      </c>
    </row>
    <row r="177" spans="1:5" ht="15.75" x14ac:dyDescent="0.25">
      <c r="A177" s="26" t="s">
        <v>374</v>
      </c>
      <c r="B177" s="27" t="s">
        <v>306</v>
      </c>
      <c r="C177" s="27" t="s">
        <v>304</v>
      </c>
      <c r="D177" s="27" t="s">
        <v>375</v>
      </c>
      <c r="E177" s="28">
        <f>5044.95-153.172</f>
        <v>4891.7780000000002</v>
      </c>
    </row>
    <row r="178" spans="1:5" ht="15.75" x14ac:dyDescent="0.25">
      <c r="A178" s="26" t="s">
        <v>315</v>
      </c>
      <c r="B178" s="27" t="s">
        <v>306</v>
      </c>
      <c r="C178" s="27" t="s">
        <v>304</v>
      </c>
      <c r="D178" s="27" t="s">
        <v>316</v>
      </c>
      <c r="E178" s="28">
        <f>16040.257-190</f>
        <v>15850.257</v>
      </c>
    </row>
    <row r="179" spans="1:5" ht="31.5" x14ac:dyDescent="0.25">
      <c r="A179" s="29" t="s">
        <v>466</v>
      </c>
      <c r="B179" s="11" t="s">
        <v>467</v>
      </c>
      <c r="C179" s="11"/>
      <c r="D179" s="11"/>
      <c r="E179" s="12">
        <f>E184+E248+E262+E180-0.001</f>
        <v>116042.03926000001</v>
      </c>
    </row>
    <row r="180" spans="1:5" ht="15.75" x14ac:dyDescent="0.25">
      <c r="A180" s="22" t="s">
        <v>307</v>
      </c>
      <c r="B180" s="23" t="s">
        <v>467</v>
      </c>
      <c r="C180" s="23" t="s">
        <v>308</v>
      </c>
      <c r="D180" s="30"/>
      <c r="E180" s="18">
        <f>E181</f>
        <v>20.60557</v>
      </c>
    </row>
    <row r="181" spans="1:5" ht="31.5" x14ac:dyDescent="0.25">
      <c r="A181" s="22" t="s">
        <v>468</v>
      </c>
      <c r="B181" s="23" t="s">
        <v>467</v>
      </c>
      <c r="C181" s="23" t="s">
        <v>469</v>
      </c>
      <c r="D181" s="30"/>
      <c r="E181" s="18">
        <f>E182</f>
        <v>20.60557</v>
      </c>
    </row>
    <row r="182" spans="1:5" ht="31.5" x14ac:dyDescent="0.25">
      <c r="A182" s="16" t="s">
        <v>470</v>
      </c>
      <c r="B182" s="17" t="s">
        <v>467</v>
      </c>
      <c r="C182" s="23" t="s">
        <v>471</v>
      </c>
      <c r="D182" s="30"/>
      <c r="E182" s="18">
        <f>E183</f>
        <v>20.60557</v>
      </c>
    </row>
    <row r="183" spans="1:5" ht="15.75" x14ac:dyDescent="0.25">
      <c r="A183" s="26" t="s">
        <v>297</v>
      </c>
      <c r="B183" s="20" t="s">
        <v>467</v>
      </c>
      <c r="C183" s="27" t="s">
        <v>471</v>
      </c>
      <c r="D183" s="20" t="s">
        <v>298</v>
      </c>
      <c r="E183" s="21">
        <v>20.60557</v>
      </c>
    </row>
    <row r="184" spans="1:5" ht="15.75" x14ac:dyDescent="0.25">
      <c r="A184" s="16" t="s">
        <v>472</v>
      </c>
      <c r="B184" s="17" t="s">
        <v>467</v>
      </c>
      <c r="C184" s="17" t="s">
        <v>473</v>
      </c>
      <c r="D184" s="17"/>
      <c r="E184" s="18">
        <f>E185+E190+E203+E210+E229+E239+E234</f>
        <v>108288.81369000001</v>
      </c>
    </row>
    <row r="185" spans="1:5" ht="15.75" x14ac:dyDescent="0.25">
      <c r="A185" s="16" t="s">
        <v>474</v>
      </c>
      <c r="B185" s="17" t="s">
        <v>467</v>
      </c>
      <c r="C185" s="17" t="s">
        <v>475</v>
      </c>
      <c r="D185" s="17"/>
      <c r="E185" s="18">
        <f>E186+E188</f>
        <v>14653.825000000001</v>
      </c>
    </row>
    <row r="186" spans="1:5" ht="15.75" x14ac:dyDescent="0.25">
      <c r="A186" s="16" t="s">
        <v>476</v>
      </c>
      <c r="B186" s="17" t="s">
        <v>467</v>
      </c>
      <c r="C186" s="17" t="s">
        <v>477</v>
      </c>
      <c r="D186" s="17"/>
      <c r="E186" s="18">
        <f>E187</f>
        <v>12701.781000000001</v>
      </c>
    </row>
    <row r="187" spans="1:5" ht="31.5" x14ac:dyDescent="0.25">
      <c r="A187" s="19" t="s">
        <v>446</v>
      </c>
      <c r="B187" s="20" t="s">
        <v>467</v>
      </c>
      <c r="C187" s="20" t="s">
        <v>477</v>
      </c>
      <c r="D187" s="20" t="s">
        <v>447</v>
      </c>
      <c r="E187" s="21">
        <f>12705.156-3.375</f>
        <v>12701.781000000001</v>
      </c>
    </row>
    <row r="188" spans="1:5" ht="31.5" x14ac:dyDescent="0.25">
      <c r="A188" s="16" t="s">
        <v>478</v>
      </c>
      <c r="B188" s="17" t="s">
        <v>467</v>
      </c>
      <c r="C188" s="17" t="s">
        <v>479</v>
      </c>
      <c r="D188" s="17"/>
      <c r="E188" s="18">
        <v>1952.0440000000001</v>
      </c>
    </row>
    <row r="189" spans="1:5" ht="31.5" x14ac:dyDescent="0.25">
      <c r="A189" s="19" t="s">
        <v>446</v>
      </c>
      <c r="B189" s="20" t="s">
        <v>467</v>
      </c>
      <c r="C189" s="20" t="s">
        <v>479</v>
      </c>
      <c r="D189" s="20" t="s">
        <v>447</v>
      </c>
      <c r="E189" s="21">
        <v>1952.0440000000001</v>
      </c>
    </row>
    <row r="190" spans="1:5" ht="15.75" x14ac:dyDescent="0.25">
      <c r="A190" s="16" t="s">
        <v>480</v>
      </c>
      <c r="B190" s="17" t="s">
        <v>467</v>
      </c>
      <c r="C190" s="17" t="s">
        <v>481</v>
      </c>
      <c r="D190" s="17"/>
      <c r="E190" s="18">
        <f>E191+E193+E195+E197+E199+E201</f>
        <v>19911.905859999999</v>
      </c>
    </row>
    <row r="191" spans="1:5" ht="15.75" x14ac:dyDescent="0.25">
      <c r="A191" s="16" t="s">
        <v>482</v>
      </c>
      <c r="B191" s="17" t="s">
        <v>467</v>
      </c>
      <c r="C191" s="17" t="s">
        <v>483</v>
      </c>
      <c r="D191" s="17"/>
      <c r="E191" s="18">
        <v>281.09500000000003</v>
      </c>
    </row>
    <row r="192" spans="1:5" ht="31.5" x14ac:dyDescent="0.25">
      <c r="A192" s="19" t="s">
        <v>446</v>
      </c>
      <c r="B192" s="20" t="s">
        <v>467</v>
      </c>
      <c r="C192" s="20" t="s">
        <v>483</v>
      </c>
      <c r="D192" s="20" t="s">
        <v>447</v>
      </c>
      <c r="E192" s="21">
        <v>281.09500000000003</v>
      </c>
    </row>
    <row r="193" spans="1:5" ht="15.75" x14ac:dyDescent="0.25">
      <c r="A193" s="16" t="s">
        <v>484</v>
      </c>
      <c r="B193" s="17" t="s">
        <v>467</v>
      </c>
      <c r="C193" s="17" t="s">
        <v>485</v>
      </c>
      <c r="D193" s="17"/>
      <c r="E193" s="18">
        <f>E194</f>
        <v>80</v>
      </c>
    </row>
    <row r="194" spans="1:5" ht="31.5" x14ac:dyDescent="0.25">
      <c r="A194" s="19" t="s">
        <v>446</v>
      </c>
      <c r="B194" s="20" t="s">
        <v>467</v>
      </c>
      <c r="C194" s="20" t="s">
        <v>485</v>
      </c>
      <c r="D194" s="20" t="s">
        <v>447</v>
      </c>
      <c r="E194" s="21">
        <f>72.58+7.42</f>
        <v>80</v>
      </c>
    </row>
    <row r="195" spans="1:5" ht="31.5" x14ac:dyDescent="0.25">
      <c r="A195" s="16" t="s">
        <v>486</v>
      </c>
      <c r="B195" s="17" t="s">
        <v>467</v>
      </c>
      <c r="C195" s="17" t="s">
        <v>487</v>
      </c>
      <c r="D195" s="17"/>
      <c r="E195" s="18">
        <v>5</v>
      </c>
    </row>
    <row r="196" spans="1:5" ht="31.5" x14ac:dyDescent="0.25">
      <c r="A196" s="19" t="s">
        <v>446</v>
      </c>
      <c r="B196" s="20" t="s">
        <v>467</v>
      </c>
      <c r="C196" s="20" t="s">
        <v>487</v>
      </c>
      <c r="D196" s="20" t="s">
        <v>447</v>
      </c>
      <c r="E196" s="21">
        <v>5</v>
      </c>
    </row>
    <row r="197" spans="1:5" ht="15.75" x14ac:dyDescent="0.25">
      <c r="A197" s="16" t="s">
        <v>488</v>
      </c>
      <c r="B197" s="17" t="s">
        <v>467</v>
      </c>
      <c r="C197" s="17" t="s">
        <v>489</v>
      </c>
      <c r="D197" s="17"/>
      <c r="E197" s="18">
        <f>E198</f>
        <v>13159.414859999999</v>
      </c>
    </row>
    <row r="198" spans="1:5" ht="31.5" x14ac:dyDescent="0.25">
      <c r="A198" s="19" t="s">
        <v>446</v>
      </c>
      <c r="B198" s="20" t="s">
        <v>467</v>
      </c>
      <c r="C198" s="20" t="s">
        <v>489</v>
      </c>
      <c r="D198" s="20" t="s">
        <v>447</v>
      </c>
      <c r="E198" s="21">
        <f>12320.697+92+330.82886-4.341+420.23</f>
        <v>13159.414859999999</v>
      </c>
    </row>
    <row r="199" spans="1:5" ht="31.5" x14ac:dyDescent="0.25">
      <c r="A199" s="16" t="s">
        <v>490</v>
      </c>
      <c r="B199" s="17" t="s">
        <v>467</v>
      </c>
      <c r="C199" s="17" t="s">
        <v>491</v>
      </c>
      <c r="D199" s="17"/>
      <c r="E199" s="18">
        <v>6381.4059999999999</v>
      </c>
    </row>
    <row r="200" spans="1:5" ht="31.5" x14ac:dyDescent="0.25">
      <c r="A200" s="19" t="s">
        <v>446</v>
      </c>
      <c r="B200" s="20" t="s">
        <v>467</v>
      </c>
      <c r="C200" s="20" t="s">
        <v>491</v>
      </c>
      <c r="D200" s="20" t="s">
        <v>447</v>
      </c>
      <c r="E200" s="21">
        <v>6381.4059999999999</v>
      </c>
    </row>
    <row r="201" spans="1:5" ht="31.5" x14ac:dyDescent="0.25">
      <c r="A201" s="16" t="s">
        <v>492</v>
      </c>
      <c r="B201" s="17" t="s">
        <v>467</v>
      </c>
      <c r="C201" s="17" t="s">
        <v>493</v>
      </c>
      <c r="D201" s="17"/>
      <c r="E201" s="18">
        <v>4.99</v>
      </c>
    </row>
    <row r="202" spans="1:5" ht="31.5" x14ac:dyDescent="0.25">
      <c r="A202" s="19" t="s">
        <v>446</v>
      </c>
      <c r="B202" s="20" t="s">
        <v>467</v>
      </c>
      <c r="C202" s="20" t="s">
        <v>493</v>
      </c>
      <c r="D202" s="20" t="s">
        <v>447</v>
      </c>
      <c r="E202" s="21">
        <v>4.99</v>
      </c>
    </row>
    <row r="203" spans="1:5" ht="15.75" x14ac:dyDescent="0.25">
      <c r="A203" s="16" t="s">
        <v>494</v>
      </c>
      <c r="B203" s="17" t="s">
        <v>467</v>
      </c>
      <c r="C203" s="17" t="s">
        <v>495</v>
      </c>
      <c r="D203" s="17"/>
      <c r="E203" s="18">
        <f>E204+E206+E208</f>
        <v>3252.6697300000001</v>
      </c>
    </row>
    <row r="204" spans="1:5" ht="15.75" x14ac:dyDescent="0.25">
      <c r="A204" s="16" t="s">
        <v>488</v>
      </c>
      <c r="B204" s="17" t="s">
        <v>467</v>
      </c>
      <c r="C204" s="17" t="s">
        <v>496</v>
      </c>
      <c r="D204" s="17"/>
      <c r="E204" s="18">
        <f>E205</f>
        <v>1814.2837300000001</v>
      </c>
    </row>
    <row r="205" spans="1:5" ht="31.5" x14ac:dyDescent="0.25">
      <c r="A205" s="19" t="s">
        <v>446</v>
      </c>
      <c r="B205" s="20" t="s">
        <v>467</v>
      </c>
      <c r="C205" s="20" t="s">
        <v>496</v>
      </c>
      <c r="D205" s="20" t="s">
        <v>447</v>
      </c>
      <c r="E205" s="21">
        <f>1354.299+25+434.98473</f>
        <v>1814.2837300000001</v>
      </c>
    </row>
    <row r="206" spans="1:5" ht="31.5" x14ac:dyDescent="0.25">
      <c r="A206" s="16" t="s">
        <v>490</v>
      </c>
      <c r="B206" s="17" t="s">
        <v>467</v>
      </c>
      <c r="C206" s="17" t="s">
        <v>497</v>
      </c>
      <c r="D206" s="17"/>
      <c r="E206" s="18">
        <v>1438.078</v>
      </c>
    </row>
    <row r="207" spans="1:5" ht="31.5" x14ac:dyDescent="0.25">
      <c r="A207" s="19" t="s">
        <v>446</v>
      </c>
      <c r="B207" s="20" t="s">
        <v>467</v>
      </c>
      <c r="C207" s="20" t="s">
        <v>497</v>
      </c>
      <c r="D207" s="20" t="s">
        <v>447</v>
      </c>
      <c r="E207" s="21">
        <v>1438.078</v>
      </c>
    </row>
    <row r="208" spans="1:5" ht="31.5" x14ac:dyDescent="0.25">
      <c r="A208" s="16" t="s">
        <v>492</v>
      </c>
      <c r="B208" s="17" t="s">
        <v>467</v>
      </c>
      <c r="C208" s="17" t="s">
        <v>498</v>
      </c>
      <c r="D208" s="17"/>
      <c r="E208" s="18">
        <v>0.308</v>
      </c>
    </row>
    <row r="209" spans="1:5" ht="31.5" x14ac:dyDescent="0.25">
      <c r="A209" s="19" t="s">
        <v>446</v>
      </c>
      <c r="B209" s="20" t="s">
        <v>467</v>
      </c>
      <c r="C209" s="20" t="s">
        <v>498</v>
      </c>
      <c r="D209" s="20" t="s">
        <v>447</v>
      </c>
      <c r="E209" s="21">
        <v>0.308</v>
      </c>
    </row>
    <row r="210" spans="1:5" ht="31.5" x14ac:dyDescent="0.25">
      <c r="A210" s="16" t="s">
        <v>499</v>
      </c>
      <c r="B210" s="17" t="s">
        <v>467</v>
      </c>
      <c r="C210" s="17" t="s">
        <v>500</v>
      </c>
      <c r="D210" s="17"/>
      <c r="E210" s="18">
        <f>E211+E213+E215+E217+E219+E221+E223+E225+E227</f>
        <v>37737.496980000004</v>
      </c>
    </row>
    <row r="211" spans="1:5" ht="31.5" x14ac:dyDescent="0.25">
      <c r="A211" s="16" t="s">
        <v>492</v>
      </c>
      <c r="B211" s="17" t="s">
        <v>467</v>
      </c>
      <c r="C211" s="17" t="s">
        <v>501</v>
      </c>
      <c r="D211" s="17"/>
      <c r="E211" s="18">
        <v>31.826000000000001</v>
      </c>
    </row>
    <row r="212" spans="1:5" ht="31.5" x14ac:dyDescent="0.25">
      <c r="A212" s="19" t="s">
        <v>446</v>
      </c>
      <c r="B212" s="20" t="s">
        <v>467</v>
      </c>
      <c r="C212" s="20" t="s">
        <v>501</v>
      </c>
      <c r="D212" s="20" t="s">
        <v>447</v>
      </c>
      <c r="E212" s="21">
        <v>31.826000000000001</v>
      </c>
    </row>
    <row r="213" spans="1:5" ht="15.75" x14ac:dyDescent="0.25">
      <c r="A213" s="16" t="s">
        <v>502</v>
      </c>
      <c r="B213" s="17" t="s">
        <v>467</v>
      </c>
      <c r="C213" s="17" t="s">
        <v>503</v>
      </c>
      <c r="D213" s="17"/>
      <c r="E213" s="18">
        <f>E214</f>
        <v>21155.302480000002</v>
      </c>
    </row>
    <row r="214" spans="1:5" ht="31.5" x14ac:dyDescent="0.25">
      <c r="A214" s="19" t="s">
        <v>446</v>
      </c>
      <c r="B214" s="20" t="s">
        <v>467</v>
      </c>
      <c r="C214" s="20" t="s">
        <v>503</v>
      </c>
      <c r="D214" s="20" t="s">
        <v>447</v>
      </c>
      <c r="E214" s="21">
        <f>20199.828+870+85.47448</f>
        <v>21155.302480000002</v>
      </c>
    </row>
    <row r="215" spans="1:5" ht="31.5" x14ac:dyDescent="0.25">
      <c r="A215" s="16" t="s">
        <v>490</v>
      </c>
      <c r="B215" s="17" t="s">
        <v>467</v>
      </c>
      <c r="C215" s="17" t="s">
        <v>504</v>
      </c>
      <c r="D215" s="17"/>
      <c r="E215" s="18">
        <v>7030.6030000000001</v>
      </c>
    </row>
    <row r="216" spans="1:5" ht="31.5" x14ac:dyDescent="0.25">
      <c r="A216" s="19" t="s">
        <v>446</v>
      </c>
      <c r="B216" s="20" t="s">
        <v>467</v>
      </c>
      <c r="C216" s="20" t="s">
        <v>504</v>
      </c>
      <c r="D216" s="20" t="s">
        <v>447</v>
      </c>
      <c r="E216" s="21">
        <v>7030.6030000000001</v>
      </c>
    </row>
    <row r="217" spans="1:5" ht="15.75" x14ac:dyDescent="0.25">
      <c r="A217" s="16" t="s">
        <v>505</v>
      </c>
      <c r="B217" s="17" t="s">
        <v>467</v>
      </c>
      <c r="C217" s="17" t="s">
        <v>506</v>
      </c>
      <c r="D217" s="17"/>
      <c r="E217" s="18">
        <f>E218</f>
        <v>1280</v>
      </c>
    </row>
    <row r="218" spans="1:5" ht="31.5" x14ac:dyDescent="0.25">
      <c r="A218" s="19" t="s">
        <v>446</v>
      </c>
      <c r="B218" s="20" t="s">
        <v>467</v>
      </c>
      <c r="C218" s="20" t="s">
        <v>506</v>
      </c>
      <c r="D218" s="20" t="s">
        <v>447</v>
      </c>
      <c r="E218" s="21">
        <f>550+730</f>
        <v>1280</v>
      </c>
    </row>
    <row r="219" spans="1:5" ht="47.25" x14ac:dyDescent="0.25">
      <c r="A219" s="16" t="s">
        <v>507</v>
      </c>
      <c r="B219" s="17" t="s">
        <v>467</v>
      </c>
      <c r="C219" s="17" t="s">
        <v>508</v>
      </c>
      <c r="D219" s="17"/>
      <c r="E219" s="18">
        <v>1165.4369999999999</v>
      </c>
    </row>
    <row r="220" spans="1:5" ht="31.5" x14ac:dyDescent="0.25">
      <c r="A220" s="19" t="s">
        <v>446</v>
      </c>
      <c r="B220" s="20" t="s">
        <v>467</v>
      </c>
      <c r="C220" s="20" t="s">
        <v>508</v>
      </c>
      <c r="D220" s="20" t="s">
        <v>447</v>
      </c>
      <c r="E220" s="21">
        <v>1165.4369999999999</v>
      </c>
    </row>
    <row r="221" spans="1:5" ht="15.75" x14ac:dyDescent="0.25">
      <c r="A221" s="16" t="s">
        <v>509</v>
      </c>
      <c r="B221" s="20" t="s">
        <v>467</v>
      </c>
      <c r="C221" s="20" t="s">
        <v>510</v>
      </c>
      <c r="D221" s="20"/>
      <c r="E221" s="18">
        <f>E222</f>
        <v>0</v>
      </c>
    </row>
    <row r="222" spans="1:5" ht="31.5" x14ac:dyDescent="0.25">
      <c r="A222" s="19" t="s">
        <v>446</v>
      </c>
      <c r="B222" s="20" t="s">
        <v>467</v>
      </c>
      <c r="C222" s="20" t="s">
        <v>510</v>
      </c>
      <c r="D222" s="20" t="s">
        <v>447</v>
      </c>
      <c r="E222" s="21">
        <f>1000-1000</f>
        <v>0</v>
      </c>
    </row>
    <row r="223" spans="1:5" ht="31.5" x14ac:dyDescent="0.25">
      <c r="A223" s="16" t="s">
        <v>511</v>
      </c>
      <c r="B223" s="17" t="s">
        <v>467</v>
      </c>
      <c r="C223" s="17" t="s">
        <v>512</v>
      </c>
      <c r="D223" s="17"/>
      <c r="E223" s="18">
        <f>E224</f>
        <v>54.337500000000006</v>
      </c>
    </row>
    <row r="224" spans="1:5" ht="31.5" x14ac:dyDescent="0.25">
      <c r="A224" s="19" t="s">
        <v>446</v>
      </c>
      <c r="B224" s="20" t="s">
        <v>467</v>
      </c>
      <c r="C224" s="20" t="s">
        <v>512</v>
      </c>
      <c r="D224" s="20" t="s">
        <v>447</v>
      </c>
      <c r="E224" s="21">
        <f>54.34-0.0025</f>
        <v>54.337500000000006</v>
      </c>
    </row>
    <row r="225" spans="1:5" ht="31.5" x14ac:dyDescent="0.25">
      <c r="A225" s="16" t="s">
        <v>513</v>
      </c>
      <c r="B225" s="17" t="s">
        <v>467</v>
      </c>
      <c r="C225" s="17" t="s">
        <v>514</v>
      </c>
      <c r="D225" s="17"/>
      <c r="E225" s="18">
        <v>333.66699999999997</v>
      </c>
    </row>
    <row r="226" spans="1:5" ht="31.5" x14ac:dyDescent="0.25">
      <c r="A226" s="19" t="s">
        <v>446</v>
      </c>
      <c r="B226" s="20" t="s">
        <v>467</v>
      </c>
      <c r="C226" s="20" t="s">
        <v>514</v>
      </c>
      <c r="D226" s="20" t="s">
        <v>447</v>
      </c>
      <c r="E226" s="21">
        <v>333.66699999999997</v>
      </c>
    </row>
    <row r="227" spans="1:5" ht="15.75" x14ac:dyDescent="0.25">
      <c r="A227" s="16" t="s">
        <v>515</v>
      </c>
      <c r="B227" s="17" t="s">
        <v>467</v>
      </c>
      <c r="C227" s="17" t="s">
        <v>516</v>
      </c>
      <c r="D227" s="17"/>
      <c r="E227" s="18">
        <f>96.008+6590.316</f>
        <v>6686.3239999999996</v>
      </c>
    </row>
    <row r="228" spans="1:5" ht="31.5" x14ac:dyDescent="0.25">
      <c r="A228" s="19" t="s">
        <v>446</v>
      </c>
      <c r="B228" s="20" t="s">
        <v>467</v>
      </c>
      <c r="C228" s="20" t="s">
        <v>516</v>
      </c>
      <c r="D228" s="20" t="s">
        <v>447</v>
      </c>
      <c r="E228" s="21">
        <f>96.008+6590.316</f>
        <v>6686.3239999999996</v>
      </c>
    </row>
    <row r="229" spans="1:5" ht="15.75" x14ac:dyDescent="0.25">
      <c r="A229" s="16" t="s">
        <v>517</v>
      </c>
      <c r="B229" s="17" t="s">
        <v>467</v>
      </c>
      <c r="C229" s="17" t="s">
        <v>518</v>
      </c>
      <c r="D229" s="17"/>
      <c r="E229" s="18">
        <f>E230</f>
        <v>5407.4949999999999</v>
      </c>
    </row>
    <row r="230" spans="1:5" ht="15.75" x14ac:dyDescent="0.25">
      <c r="A230" s="16" t="s">
        <v>519</v>
      </c>
      <c r="B230" s="17" t="s">
        <v>467</v>
      </c>
      <c r="C230" s="17" t="s">
        <v>520</v>
      </c>
      <c r="D230" s="17"/>
      <c r="E230" s="18">
        <f>E231+E232+E233</f>
        <v>5407.4949999999999</v>
      </c>
    </row>
    <row r="231" spans="1:5" ht="47.25" x14ac:dyDescent="0.25">
      <c r="A231" s="19" t="s">
        <v>293</v>
      </c>
      <c r="B231" s="20" t="s">
        <v>467</v>
      </c>
      <c r="C231" s="20" t="s">
        <v>520</v>
      </c>
      <c r="D231" s="20" t="s">
        <v>294</v>
      </c>
      <c r="E231" s="21">
        <f>383.287+4528.101-4</f>
        <v>4907.3879999999999</v>
      </c>
    </row>
    <row r="232" spans="1:5" ht="15.75" x14ac:dyDescent="0.25">
      <c r="A232" s="19" t="s">
        <v>297</v>
      </c>
      <c r="B232" s="20" t="s">
        <v>467</v>
      </c>
      <c r="C232" s="20" t="s">
        <v>520</v>
      </c>
      <c r="D232" s="20" t="s">
        <v>298</v>
      </c>
      <c r="E232" s="21">
        <f>4.2+584.607-90</f>
        <v>498.80700000000002</v>
      </c>
    </row>
    <row r="233" spans="1:5" ht="15.75" x14ac:dyDescent="0.25">
      <c r="A233" s="19" t="s">
        <v>315</v>
      </c>
      <c r="B233" s="20" t="s">
        <v>467</v>
      </c>
      <c r="C233" s="20" t="s">
        <v>520</v>
      </c>
      <c r="D233" s="20" t="s">
        <v>316</v>
      </c>
      <c r="E233" s="21">
        <f>-0.2+1.5</f>
        <v>1.3</v>
      </c>
    </row>
    <row r="234" spans="1:5" ht="15.75" x14ac:dyDescent="0.25">
      <c r="A234" s="16" t="s">
        <v>521</v>
      </c>
      <c r="B234" s="17" t="s">
        <v>467</v>
      </c>
      <c r="C234" s="17" t="s">
        <v>522</v>
      </c>
      <c r="D234" s="17"/>
      <c r="E234" s="18">
        <f>E235+E237</f>
        <v>21730.689160000002</v>
      </c>
    </row>
    <row r="235" spans="1:5" ht="15.75" x14ac:dyDescent="0.25">
      <c r="A235" s="16" t="s">
        <v>523</v>
      </c>
      <c r="B235" s="17" t="s">
        <v>467</v>
      </c>
      <c r="C235" s="17" t="s">
        <v>524</v>
      </c>
      <c r="D235" s="17"/>
      <c r="E235" s="18">
        <f>E236</f>
        <v>8713.7191600000042</v>
      </c>
    </row>
    <row r="236" spans="1:5" ht="31.5" x14ac:dyDescent="0.25">
      <c r="A236" s="19" t="s">
        <v>446</v>
      </c>
      <c r="B236" s="20" t="s">
        <v>467</v>
      </c>
      <c r="C236" s="20" t="s">
        <v>524</v>
      </c>
      <c r="D236" s="20" t="s">
        <v>447</v>
      </c>
      <c r="E236" s="21">
        <f>17120.455-130.17-3221.7-880.82886-4174.03698</f>
        <v>8713.7191600000042</v>
      </c>
    </row>
    <row r="237" spans="1:5" ht="31.5" x14ac:dyDescent="0.25">
      <c r="A237" s="16" t="s">
        <v>490</v>
      </c>
      <c r="B237" s="20" t="s">
        <v>467</v>
      </c>
      <c r="C237" s="20" t="s">
        <v>525</v>
      </c>
      <c r="D237" s="20"/>
      <c r="E237" s="21">
        <f>E238</f>
        <v>13016.97</v>
      </c>
    </row>
    <row r="238" spans="1:5" ht="31.5" x14ac:dyDescent="0.25">
      <c r="A238" s="19" t="s">
        <v>446</v>
      </c>
      <c r="B238" s="20" t="s">
        <v>467</v>
      </c>
      <c r="C238" s="20" t="s">
        <v>525</v>
      </c>
      <c r="D238" s="20" t="s">
        <v>447</v>
      </c>
      <c r="E238" s="21">
        <f>130.17+12886.8</f>
        <v>13016.97</v>
      </c>
    </row>
    <row r="239" spans="1:5" ht="15.75" x14ac:dyDescent="0.25">
      <c r="A239" s="16" t="s">
        <v>526</v>
      </c>
      <c r="B239" s="17" t="s">
        <v>467</v>
      </c>
      <c r="C239" s="17" t="s">
        <v>527</v>
      </c>
      <c r="D239" s="17"/>
      <c r="E239" s="18">
        <f>E241+E243+E247+E245</f>
        <v>5594.7319600000001</v>
      </c>
    </row>
    <row r="240" spans="1:5" ht="15.75" x14ac:dyDescent="0.25">
      <c r="A240" s="16" t="s">
        <v>528</v>
      </c>
      <c r="B240" s="17" t="s">
        <v>467</v>
      </c>
      <c r="C240" s="17" t="s">
        <v>529</v>
      </c>
      <c r="D240" s="17"/>
      <c r="E240" s="18">
        <f>E241</f>
        <v>2043.5549599999999</v>
      </c>
    </row>
    <row r="241" spans="1:5" ht="31.5" x14ac:dyDescent="0.25">
      <c r="A241" s="19" t="s">
        <v>446</v>
      </c>
      <c r="B241" s="20" t="s">
        <v>467</v>
      </c>
      <c r="C241" s="20" t="s">
        <v>529</v>
      </c>
      <c r="D241" s="20" t="s">
        <v>447</v>
      </c>
      <c r="E241" s="21">
        <f>1648.376+50+345.17896</f>
        <v>2043.5549599999999</v>
      </c>
    </row>
    <row r="242" spans="1:5" ht="31.5" x14ac:dyDescent="0.25">
      <c r="A242" s="16" t="s">
        <v>490</v>
      </c>
      <c r="B242" s="17" t="s">
        <v>467</v>
      </c>
      <c r="C242" s="17" t="s">
        <v>530</v>
      </c>
      <c r="D242" s="17"/>
      <c r="E242" s="18">
        <f>E243</f>
        <v>1128.556</v>
      </c>
    </row>
    <row r="243" spans="1:5" ht="31.5" x14ac:dyDescent="0.25">
      <c r="A243" s="19" t="s">
        <v>446</v>
      </c>
      <c r="B243" s="20" t="s">
        <v>467</v>
      </c>
      <c r="C243" s="20" t="s">
        <v>530</v>
      </c>
      <c r="D243" s="20" t="s">
        <v>447</v>
      </c>
      <c r="E243" s="21">
        <v>1128.556</v>
      </c>
    </row>
    <row r="244" spans="1:5" ht="15.75" x14ac:dyDescent="0.25">
      <c r="A244" s="16" t="s">
        <v>531</v>
      </c>
      <c r="B244" s="17" t="s">
        <v>467</v>
      </c>
      <c r="C244" s="17" t="s">
        <v>532</v>
      </c>
      <c r="D244" s="17"/>
      <c r="E244" s="18">
        <v>422.62099999999998</v>
      </c>
    </row>
    <row r="245" spans="1:5" ht="31.5" x14ac:dyDescent="0.25">
      <c r="A245" s="19" t="s">
        <v>446</v>
      </c>
      <c r="B245" s="20" t="s">
        <v>467</v>
      </c>
      <c r="C245" s="17" t="s">
        <v>532</v>
      </c>
      <c r="D245" s="17" t="s">
        <v>447</v>
      </c>
      <c r="E245" s="18">
        <v>422.62099999999998</v>
      </c>
    </row>
    <row r="246" spans="1:5" ht="15.75" x14ac:dyDescent="0.25">
      <c r="A246" s="16" t="s">
        <v>533</v>
      </c>
      <c r="B246" s="20" t="s">
        <v>467</v>
      </c>
      <c r="C246" s="17" t="s">
        <v>534</v>
      </c>
      <c r="D246" s="17"/>
      <c r="E246" s="18">
        <v>2000</v>
      </c>
    </row>
    <row r="247" spans="1:5" ht="31.5" x14ac:dyDescent="0.25">
      <c r="A247" s="19" t="s">
        <v>446</v>
      </c>
      <c r="B247" s="20" t="s">
        <v>467</v>
      </c>
      <c r="C247" s="17" t="s">
        <v>534</v>
      </c>
      <c r="D247" s="20" t="s">
        <v>447</v>
      </c>
      <c r="E247" s="21">
        <v>2000</v>
      </c>
    </row>
    <row r="248" spans="1:5" ht="31.5" x14ac:dyDescent="0.25">
      <c r="A248" s="16" t="s">
        <v>535</v>
      </c>
      <c r="B248" s="17" t="s">
        <v>467</v>
      </c>
      <c r="C248" s="17" t="s">
        <v>536</v>
      </c>
      <c r="D248" s="17"/>
      <c r="E248" s="18">
        <f>E249+E252+E255</f>
        <v>7036.3790000000008</v>
      </c>
    </row>
    <row r="249" spans="1:5" ht="15.75" x14ac:dyDescent="0.25">
      <c r="A249" s="16" t="s">
        <v>537</v>
      </c>
      <c r="B249" s="17" t="s">
        <v>467</v>
      </c>
      <c r="C249" s="17" t="s">
        <v>538</v>
      </c>
      <c r="D249" s="17"/>
      <c r="E249" s="18">
        <v>250</v>
      </c>
    </row>
    <row r="250" spans="1:5" ht="31.5" x14ac:dyDescent="0.25">
      <c r="A250" s="16" t="s">
        <v>539</v>
      </c>
      <c r="B250" s="17" t="s">
        <v>467</v>
      </c>
      <c r="C250" s="17" t="s">
        <v>540</v>
      </c>
      <c r="D250" s="17"/>
      <c r="E250" s="18">
        <v>250</v>
      </c>
    </row>
    <row r="251" spans="1:5" ht="31.5" x14ac:dyDescent="0.25">
      <c r="A251" s="19" t="s">
        <v>446</v>
      </c>
      <c r="B251" s="20" t="s">
        <v>467</v>
      </c>
      <c r="C251" s="20" t="s">
        <v>540</v>
      </c>
      <c r="D251" s="20" t="s">
        <v>447</v>
      </c>
      <c r="E251" s="21">
        <v>250</v>
      </c>
    </row>
    <row r="252" spans="1:5" ht="15.75" x14ac:dyDescent="0.25">
      <c r="A252" s="16" t="s">
        <v>541</v>
      </c>
      <c r="B252" s="17" t="s">
        <v>467</v>
      </c>
      <c r="C252" s="17" t="s">
        <v>542</v>
      </c>
      <c r="D252" s="17"/>
      <c r="E252" s="18">
        <v>550</v>
      </c>
    </row>
    <row r="253" spans="1:5" ht="31.5" x14ac:dyDescent="0.25">
      <c r="A253" s="16" t="s">
        <v>543</v>
      </c>
      <c r="B253" s="17" t="s">
        <v>467</v>
      </c>
      <c r="C253" s="17" t="s">
        <v>544</v>
      </c>
      <c r="D253" s="17"/>
      <c r="E253" s="18">
        <v>550</v>
      </c>
    </row>
    <row r="254" spans="1:5" ht="31.5" x14ac:dyDescent="0.25">
      <c r="A254" s="19" t="s">
        <v>446</v>
      </c>
      <c r="B254" s="20" t="s">
        <v>467</v>
      </c>
      <c r="C254" s="20" t="s">
        <v>544</v>
      </c>
      <c r="D254" s="20" t="s">
        <v>447</v>
      </c>
      <c r="E254" s="21">
        <v>550</v>
      </c>
    </row>
    <row r="255" spans="1:5" ht="15.75" x14ac:dyDescent="0.25">
      <c r="A255" s="16" t="s">
        <v>545</v>
      </c>
      <c r="B255" s="17" t="s">
        <v>467</v>
      </c>
      <c r="C255" s="17" t="s">
        <v>546</v>
      </c>
      <c r="D255" s="17"/>
      <c r="E255" s="18">
        <f>E256+E258+E260</f>
        <v>6236.3790000000008</v>
      </c>
    </row>
    <row r="256" spans="1:5" ht="31.5" x14ac:dyDescent="0.25">
      <c r="A256" s="16" t="s">
        <v>492</v>
      </c>
      <c r="B256" s="17" t="s">
        <v>467</v>
      </c>
      <c r="C256" s="17" t="s">
        <v>547</v>
      </c>
      <c r="D256" s="17"/>
      <c r="E256" s="18">
        <v>1.024</v>
      </c>
    </row>
    <row r="257" spans="1:5" ht="31.5" x14ac:dyDescent="0.25">
      <c r="A257" s="19" t="s">
        <v>446</v>
      </c>
      <c r="B257" s="20" t="s">
        <v>467</v>
      </c>
      <c r="C257" s="20" t="s">
        <v>547</v>
      </c>
      <c r="D257" s="20" t="s">
        <v>447</v>
      </c>
      <c r="E257" s="21">
        <v>1.024</v>
      </c>
    </row>
    <row r="258" spans="1:5" ht="15.75" x14ac:dyDescent="0.25">
      <c r="A258" s="16" t="s">
        <v>548</v>
      </c>
      <c r="B258" s="17" t="s">
        <v>467</v>
      </c>
      <c r="C258" s="17" t="s">
        <v>549</v>
      </c>
      <c r="D258" s="17"/>
      <c r="E258" s="18">
        <f>E259</f>
        <v>5679.5660000000007</v>
      </c>
    </row>
    <row r="259" spans="1:5" ht="31.5" x14ac:dyDescent="0.25">
      <c r="A259" s="19" t="s">
        <v>446</v>
      </c>
      <c r="B259" s="20" t="s">
        <v>467</v>
      </c>
      <c r="C259" s="20" t="s">
        <v>549</v>
      </c>
      <c r="D259" s="20" t="s">
        <v>447</v>
      </c>
      <c r="E259" s="21">
        <f>7189.497-110-949.931-450</f>
        <v>5679.5660000000007</v>
      </c>
    </row>
    <row r="260" spans="1:5" ht="31.5" x14ac:dyDescent="0.25">
      <c r="A260" s="16" t="s">
        <v>478</v>
      </c>
      <c r="B260" s="17" t="s">
        <v>467</v>
      </c>
      <c r="C260" s="17" t="s">
        <v>550</v>
      </c>
      <c r="D260" s="17"/>
      <c r="E260" s="18">
        <f>E261</f>
        <v>555.78899999999999</v>
      </c>
    </row>
    <row r="261" spans="1:5" ht="31.5" x14ac:dyDescent="0.25">
      <c r="A261" s="19" t="s">
        <v>446</v>
      </c>
      <c r="B261" s="20" t="s">
        <v>467</v>
      </c>
      <c r="C261" s="20" t="s">
        <v>550</v>
      </c>
      <c r="D261" s="20" t="s">
        <v>447</v>
      </c>
      <c r="E261" s="21">
        <v>555.78899999999999</v>
      </c>
    </row>
    <row r="262" spans="1:5" ht="31.5" x14ac:dyDescent="0.25">
      <c r="A262" s="16" t="s">
        <v>414</v>
      </c>
      <c r="B262" s="17" t="s">
        <v>467</v>
      </c>
      <c r="C262" s="17" t="s">
        <v>415</v>
      </c>
      <c r="D262" s="17"/>
      <c r="E262" s="18">
        <f>E263</f>
        <v>696.24199999999996</v>
      </c>
    </row>
    <row r="263" spans="1:5" ht="15.75" x14ac:dyDescent="0.25">
      <c r="A263" s="16" t="s">
        <v>422</v>
      </c>
      <c r="B263" s="17" t="s">
        <v>467</v>
      </c>
      <c r="C263" s="17" t="s">
        <v>423</v>
      </c>
      <c r="D263" s="17"/>
      <c r="E263" s="18">
        <f>E264</f>
        <v>696.24199999999996</v>
      </c>
    </row>
    <row r="264" spans="1:5" ht="31.5" x14ac:dyDescent="0.25">
      <c r="A264" s="16" t="s">
        <v>424</v>
      </c>
      <c r="B264" s="17" t="s">
        <v>467</v>
      </c>
      <c r="C264" s="17" t="s">
        <v>425</v>
      </c>
      <c r="D264" s="17"/>
      <c r="E264" s="18">
        <f>E265</f>
        <v>696.24199999999996</v>
      </c>
    </row>
    <row r="265" spans="1:5" ht="31.5" x14ac:dyDescent="0.25">
      <c r="A265" s="16" t="s">
        <v>492</v>
      </c>
      <c r="B265" s="17" t="s">
        <v>467</v>
      </c>
      <c r="C265" s="17" t="s">
        <v>551</v>
      </c>
      <c r="D265" s="17"/>
      <c r="E265" s="18">
        <f>E266</f>
        <v>696.24199999999996</v>
      </c>
    </row>
    <row r="266" spans="1:5" ht="31.5" x14ac:dyDescent="0.25">
      <c r="A266" s="19" t="s">
        <v>446</v>
      </c>
      <c r="B266" s="20" t="s">
        <v>467</v>
      </c>
      <c r="C266" s="20" t="s">
        <v>551</v>
      </c>
      <c r="D266" s="20" t="s">
        <v>447</v>
      </c>
      <c r="E266" s="21">
        <f>696.242</f>
        <v>696.24199999999996</v>
      </c>
    </row>
    <row r="267" spans="1:5" ht="31.5" x14ac:dyDescent="0.25">
      <c r="A267" s="13" t="s">
        <v>552</v>
      </c>
      <c r="B267" s="14" t="s">
        <v>553</v>
      </c>
      <c r="C267" s="14"/>
      <c r="D267" s="14"/>
      <c r="E267" s="15">
        <f>E268+E272+E298+E306</f>
        <v>55224.207730000002</v>
      </c>
    </row>
    <row r="268" spans="1:5" ht="31.5" x14ac:dyDescent="0.25">
      <c r="A268" s="16" t="s">
        <v>341</v>
      </c>
      <c r="B268" s="17" t="s">
        <v>553</v>
      </c>
      <c r="C268" s="17" t="s">
        <v>342</v>
      </c>
      <c r="D268" s="17"/>
      <c r="E268" s="18">
        <f>E269</f>
        <v>98.587999999999994</v>
      </c>
    </row>
    <row r="269" spans="1:5" ht="31.5" x14ac:dyDescent="0.25">
      <c r="A269" s="16" t="s">
        <v>343</v>
      </c>
      <c r="B269" s="17" t="s">
        <v>553</v>
      </c>
      <c r="C269" s="17" t="s">
        <v>344</v>
      </c>
      <c r="D269" s="17"/>
      <c r="E269" s="18">
        <f>E270</f>
        <v>98.587999999999994</v>
      </c>
    </row>
    <row r="270" spans="1:5" ht="15.75" x14ac:dyDescent="0.25">
      <c r="A270" s="16" t="s">
        <v>345</v>
      </c>
      <c r="B270" s="17" t="s">
        <v>553</v>
      </c>
      <c r="C270" s="17" t="s">
        <v>346</v>
      </c>
      <c r="D270" s="17"/>
      <c r="E270" s="18">
        <f>E271</f>
        <v>98.587999999999994</v>
      </c>
    </row>
    <row r="271" spans="1:5" ht="15.75" x14ac:dyDescent="0.25">
      <c r="A271" s="19" t="s">
        <v>297</v>
      </c>
      <c r="B271" s="20" t="s">
        <v>553</v>
      </c>
      <c r="C271" s="20" t="s">
        <v>346</v>
      </c>
      <c r="D271" s="20" t="s">
        <v>298</v>
      </c>
      <c r="E271" s="21">
        <f>323-224.412</f>
        <v>98.587999999999994</v>
      </c>
    </row>
    <row r="272" spans="1:5" ht="31.5" x14ac:dyDescent="0.25">
      <c r="A272" s="16" t="s">
        <v>368</v>
      </c>
      <c r="B272" s="17" t="s">
        <v>553</v>
      </c>
      <c r="C272" s="17" t="s">
        <v>369</v>
      </c>
      <c r="D272" s="17"/>
      <c r="E272" s="18">
        <f>E273+E291</f>
        <v>48942.994999999995</v>
      </c>
    </row>
    <row r="273" spans="1:5" ht="31.5" x14ac:dyDescent="0.25">
      <c r="A273" s="16" t="s">
        <v>370</v>
      </c>
      <c r="B273" s="17" t="s">
        <v>553</v>
      </c>
      <c r="C273" s="17" t="s">
        <v>371</v>
      </c>
      <c r="D273" s="17"/>
      <c r="E273" s="18">
        <f>E274+E276+E278+E283+E285+E287+E289</f>
        <v>45529.561999999998</v>
      </c>
    </row>
    <row r="274" spans="1:5" ht="47.25" x14ac:dyDescent="0.25">
      <c r="A274" s="16" t="s">
        <v>554</v>
      </c>
      <c r="B274" s="17" t="s">
        <v>553</v>
      </c>
      <c r="C274" s="17" t="s">
        <v>555</v>
      </c>
      <c r="D274" s="17"/>
      <c r="E274" s="18">
        <f>E275</f>
        <v>814.16200000000003</v>
      </c>
    </row>
    <row r="275" spans="1:5" ht="15.75" x14ac:dyDescent="0.25">
      <c r="A275" s="19" t="s">
        <v>297</v>
      </c>
      <c r="B275" s="20" t="s">
        <v>553</v>
      </c>
      <c r="C275" s="20" t="s">
        <v>555</v>
      </c>
      <c r="D275" s="20" t="s">
        <v>298</v>
      </c>
      <c r="E275" s="21">
        <f>1000-185.838</f>
        <v>814.16200000000003</v>
      </c>
    </row>
    <row r="276" spans="1:5" ht="15.75" x14ac:dyDescent="0.25">
      <c r="A276" s="16" t="s">
        <v>556</v>
      </c>
      <c r="B276" s="17" t="s">
        <v>553</v>
      </c>
      <c r="C276" s="17" t="s">
        <v>557</v>
      </c>
      <c r="D276" s="17"/>
      <c r="E276" s="18">
        <f>E277</f>
        <v>70</v>
      </c>
    </row>
    <row r="277" spans="1:5" ht="15.75" x14ac:dyDescent="0.25">
      <c r="A277" s="19" t="s">
        <v>297</v>
      </c>
      <c r="B277" s="20" t="s">
        <v>553</v>
      </c>
      <c r="C277" s="20" t="s">
        <v>557</v>
      </c>
      <c r="D277" s="20" t="s">
        <v>298</v>
      </c>
      <c r="E277" s="21">
        <f>100-30</f>
        <v>70</v>
      </c>
    </row>
    <row r="278" spans="1:5" ht="47.25" x14ac:dyDescent="0.25">
      <c r="A278" s="16" t="s">
        <v>558</v>
      </c>
      <c r="B278" s="17" t="s">
        <v>553</v>
      </c>
      <c r="C278" s="17" t="s">
        <v>559</v>
      </c>
      <c r="D278" s="17"/>
      <c r="E278" s="18">
        <v>13099.6</v>
      </c>
    </row>
    <row r="279" spans="1:5" ht="78.75" x14ac:dyDescent="0.25">
      <c r="A279" s="31" t="s">
        <v>560</v>
      </c>
      <c r="B279" s="17" t="s">
        <v>553</v>
      </c>
      <c r="C279" s="17" t="s">
        <v>561</v>
      </c>
      <c r="D279" s="17"/>
      <c r="E279" s="18">
        <v>2965.23</v>
      </c>
    </row>
    <row r="280" spans="1:5" ht="15.75" x14ac:dyDescent="0.25">
      <c r="A280" s="19" t="s">
        <v>562</v>
      </c>
      <c r="B280" s="20" t="s">
        <v>553</v>
      </c>
      <c r="C280" s="20" t="s">
        <v>561</v>
      </c>
      <c r="D280" s="20" t="s">
        <v>563</v>
      </c>
      <c r="E280" s="21">
        <v>2965.23</v>
      </c>
    </row>
    <row r="281" spans="1:5" ht="78.75" x14ac:dyDescent="0.25">
      <c r="A281" s="31" t="s">
        <v>560</v>
      </c>
      <c r="B281" s="17" t="s">
        <v>553</v>
      </c>
      <c r="C281" s="17" t="s">
        <v>564</v>
      </c>
      <c r="D281" s="17"/>
      <c r="E281" s="18">
        <v>10134.370000000001</v>
      </c>
    </row>
    <row r="282" spans="1:5" ht="15.75" x14ac:dyDescent="0.25">
      <c r="A282" s="19" t="s">
        <v>562</v>
      </c>
      <c r="B282" s="20" t="s">
        <v>553</v>
      </c>
      <c r="C282" s="20" t="s">
        <v>564</v>
      </c>
      <c r="D282" s="20" t="s">
        <v>563</v>
      </c>
      <c r="E282" s="21">
        <v>10134.370000000001</v>
      </c>
    </row>
    <row r="283" spans="1:5" ht="15.75" x14ac:dyDescent="0.25">
      <c r="A283" s="16" t="s">
        <v>565</v>
      </c>
      <c r="B283" s="17" t="s">
        <v>553</v>
      </c>
      <c r="C283" s="17" t="s">
        <v>566</v>
      </c>
      <c r="D283" s="17"/>
      <c r="E283" s="18">
        <f>E284</f>
        <v>800</v>
      </c>
    </row>
    <row r="284" spans="1:5" ht="15.75" x14ac:dyDescent="0.25">
      <c r="A284" s="19" t="s">
        <v>562</v>
      </c>
      <c r="B284" s="20" t="s">
        <v>553</v>
      </c>
      <c r="C284" s="20" t="s">
        <v>566</v>
      </c>
      <c r="D284" s="20" t="s">
        <v>563</v>
      </c>
      <c r="E284" s="21">
        <f>5000+3600-3600-3500-700</f>
        <v>800</v>
      </c>
    </row>
    <row r="285" spans="1:5" ht="31.5" x14ac:dyDescent="0.25">
      <c r="A285" s="16" t="s">
        <v>567</v>
      </c>
      <c r="B285" s="17" t="s">
        <v>553</v>
      </c>
      <c r="C285" s="17" t="s">
        <v>568</v>
      </c>
      <c r="D285" s="17"/>
      <c r="E285" s="18">
        <v>29208.51</v>
      </c>
    </row>
    <row r="286" spans="1:5" ht="15.75" x14ac:dyDescent="0.25">
      <c r="A286" s="19" t="s">
        <v>562</v>
      </c>
      <c r="B286" s="20" t="s">
        <v>553</v>
      </c>
      <c r="C286" s="20" t="s">
        <v>568</v>
      </c>
      <c r="D286" s="20" t="s">
        <v>563</v>
      </c>
      <c r="E286" s="21">
        <v>29208.51</v>
      </c>
    </row>
    <row r="287" spans="1:5" ht="31.5" x14ac:dyDescent="0.25">
      <c r="A287" s="16" t="s">
        <v>567</v>
      </c>
      <c r="B287" s="17" t="s">
        <v>553</v>
      </c>
      <c r="C287" s="17" t="s">
        <v>569</v>
      </c>
      <c r="D287" s="17"/>
      <c r="E287" s="18">
        <v>1229.8320000000001</v>
      </c>
    </row>
    <row r="288" spans="1:5" ht="15.75" x14ac:dyDescent="0.25">
      <c r="A288" s="19" t="s">
        <v>562</v>
      </c>
      <c r="B288" s="20" t="s">
        <v>553</v>
      </c>
      <c r="C288" s="20" t="s">
        <v>569</v>
      </c>
      <c r="D288" s="20" t="s">
        <v>563</v>
      </c>
      <c r="E288" s="21">
        <v>1229.8320000000001</v>
      </c>
    </row>
    <row r="289" spans="1:5" ht="31.5" x14ac:dyDescent="0.25">
      <c r="A289" s="16" t="s">
        <v>567</v>
      </c>
      <c r="B289" s="17" t="s">
        <v>553</v>
      </c>
      <c r="C289" s="17" t="s">
        <v>570</v>
      </c>
      <c r="D289" s="17"/>
      <c r="E289" s="18">
        <v>307.45800000000003</v>
      </c>
    </row>
    <row r="290" spans="1:5" ht="15.75" x14ac:dyDescent="0.25">
      <c r="A290" s="19" t="s">
        <v>562</v>
      </c>
      <c r="B290" s="20" t="s">
        <v>553</v>
      </c>
      <c r="C290" s="20" t="s">
        <v>570</v>
      </c>
      <c r="D290" s="20" t="s">
        <v>563</v>
      </c>
      <c r="E290" s="21">
        <v>307.45800000000003</v>
      </c>
    </row>
    <row r="291" spans="1:5" ht="31.5" x14ac:dyDescent="0.25">
      <c r="A291" s="16" t="s">
        <v>381</v>
      </c>
      <c r="B291" s="17" t="s">
        <v>553</v>
      </c>
      <c r="C291" s="17" t="s">
        <v>382</v>
      </c>
      <c r="D291" s="17"/>
      <c r="E291" s="18">
        <f>E292+E294+E296</f>
        <v>3413.433</v>
      </c>
    </row>
    <row r="292" spans="1:5" ht="15.75" x14ac:dyDescent="0.25">
      <c r="A292" s="16" t="s">
        <v>571</v>
      </c>
      <c r="B292" s="17" t="s">
        <v>553</v>
      </c>
      <c r="C292" s="17" t="s">
        <v>572</v>
      </c>
      <c r="D292" s="17"/>
      <c r="E292" s="18">
        <f>E293</f>
        <v>807.00200000000007</v>
      </c>
    </row>
    <row r="293" spans="1:5" ht="15.75" x14ac:dyDescent="0.25">
      <c r="A293" s="19" t="s">
        <v>297</v>
      </c>
      <c r="B293" s="20" t="s">
        <v>553</v>
      </c>
      <c r="C293" s="20" t="s">
        <v>572</v>
      </c>
      <c r="D293" s="20" t="s">
        <v>298</v>
      </c>
      <c r="E293" s="21">
        <f>620.003+49.553+269.446-132</f>
        <v>807.00200000000007</v>
      </c>
    </row>
    <row r="294" spans="1:5" ht="31.5" x14ac:dyDescent="0.25">
      <c r="A294" s="16" t="s">
        <v>389</v>
      </c>
      <c r="B294" s="17" t="s">
        <v>553</v>
      </c>
      <c r="C294" s="17" t="s">
        <v>390</v>
      </c>
      <c r="D294" s="17"/>
      <c r="E294" s="18">
        <f>E295</f>
        <v>441.82299999999992</v>
      </c>
    </row>
    <row r="295" spans="1:5" ht="15.75" x14ac:dyDescent="0.25">
      <c r="A295" s="19" t="s">
        <v>297</v>
      </c>
      <c r="B295" s="20" t="s">
        <v>553</v>
      </c>
      <c r="C295" s="20" t="s">
        <v>390</v>
      </c>
      <c r="D295" s="20" t="s">
        <v>298</v>
      </c>
      <c r="E295" s="21">
        <f>304.858+500-363.035</f>
        <v>441.82299999999992</v>
      </c>
    </row>
    <row r="296" spans="1:5" ht="15.75" x14ac:dyDescent="0.25">
      <c r="A296" s="16" t="s">
        <v>573</v>
      </c>
      <c r="B296" s="17" t="s">
        <v>553</v>
      </c>
      <c r="C296" s="17" t="s">
        <v>574</v>
      </c>
      <c r="D296" s="17"/>
      <c r="E296" s="18">
        <f>E297</f>
        <v>2164.6079999999997</v>
      </c>
    </row>
    <row r="297" spans="1:5" ht="15.75" x14ac:dyDescent="0.25">
      <c r="A297" s="19" t="s">
        <v>297</v>
      </c>
      <c r="B297" s="20" t="s">
        <v>553</v>
      </c>
      <c r="C297" s="20" t="s">
        <v>574</v>
      </c>
      <c r="D297" s="20" t="s">
        <v>298</v>
      </c>
      <c r="E297" s="21">
        <f>1864.611+300-0.003</f>
        <v>2164.6079999999997</v>
      </c>
    </row>
    <row r="298" spans="1:5" ht="31.5" x14ac:dyDescent="0.25">
      <c r="A298" s="16" t="s">
        <v>394</v>
      </c>
      <c r="B298" s="17" t="s">
        <v>553</v>
      </c>
      <c r="C298" s="17" t="s">
        <v>395</v>
      </c>
      <c r="D298" s="17"/>
      <c r="E298" s="18">
        <f>E299</f>
        <v>6117.3850000000002</v>
      </c>
    </row>
    <row r="299" spans="1:5" ht="15.75" x14ac:dyDescent="0.25">
      <c r="A299" s="16" t="s">
        <v>575</v>
      </c>
      <c r="B299" s="17" t="s">
        <v>553</v>
      </c>
      <c r="C299" s="17" t="s">
        <v>576</v>
      </c>
      <c r="D299" s="17"/>
      <c r="E299" s="18">
        <f>E300+E302</f>
        <v>6117.3850000000002</v>
      </c>
    </row>
    <row r="300" spans="1:5" ht="47.25" x14ac:dyDescent="0.25">
      <c r="A300" s="16" t="s">
        <v>577</v>
      </c>
      <c r="B300" s="17" t="s">
        <v>553</v>
      </c>
      <c r="C300" s="17" t="s">
        <v>578</v>
      </c>
      <c r="D300" s="17"/>
      <c r="E300" s="18">
        <v>203.37200000000001</v>
      </c>
    </row>
    <row r="301" spans="1:5" ht="15.75" x14ac:dyDescent="0.25">
      <c r="A301" s="19" t="s">
        <v>297</v>
      </c>
      <c r="B301" s="20" t="s">
        <v>553</v>
      </c>
      <c r="C301" s="20" t="s">
        <v>578</v>
      </c>
      <c r="D301" s="20" t="s">
        <v>298</v>
      </c>
      <c r="E301" s="21">
        <v>203.37200000000001</v>
      </c>
    </row>
    <row r="302" spans="1:5" ht="15.75" x14ac:dyDescent="0.25">
      <c r="A302" s="16" t="s">
        <v>579</v>
      </c>
      <c r="B302" s="17" t="s">
        <v>553</v>
      </c>
      <c r="C302" s="17" t="s">
        <v>580</v>
      </c>
      <c r="D302" s="17"/>
      <c r="E302" s="18">
        <f>E303+E304+E305</f>
        <v>5914.0129999999999</v>
      </c>
    </row>
    <row r="303" spans="1:5" ht="47.25" x14ac:dyDescent="0.25">
      <c r="A303" s="19" t="s">
        <v>293</v>
      </c>
      <c r="B303" s="20" t="s">
        <v>553</v>
      </c>
      <c r="C303" s="20" t="s">
        <v>580</v>
      </c>
      <c r="D303" s="20" t="s">
        <v>294</v>
      </c>
      <c r="E303" s="21">
        <f>4820.022+203.88+469.001-3.463-20</f>
        <v>5469.4400000000005</v>
      </c>
    </row>
    <row r="304" spans="1:5" ht="15.75" x14ac:dyDescent="0.25">
      <c r="A304" s="19" t="s">
        <v>297</v>
      </c>
      <c r="B304" s="20" t="s">
        <v>553</v>
      </c>
      <c r="C304" s="20" t="s">
        <v>580</v>
      </c>
      <c r="D304" s="20" t="s">
        <v>298</v>
      </c>
      <c r="E304" s="21">
        <f>348-8.8-2.258-6.3-20.241-11.13</f>
        <v>299.27100000000002</v>
      </c>
    </row>
    <row r="305" spans="1:5" ht="15.75" x14ac:dyDescent="0.25">
      <c r="A305" s="19" t="s">
        <v>315</v>
      </c>
      <c r="B305" s="20" t="s">
        <v>553</v>
      </c>
      <c r="C305" s="20" t="s">
        <v>580</v>
      </c>
      <c r="D305" s="20" t="s">
        <v>316</v>
      </c>
      <c r="E305" s="21">
        <f>146.302-1</f>
        <v>145.30199999999999</v>
      </c>
    </row>
    <row r="306" spans="1:5" ht="15.75" x14ac:dyDescent="0.25">
      <c r="A306" s="16" t="s">
        <v>287</v>
      </c>
      <c r="B306" s="17" t="s">
        <v>553</v>
      </c>
      <c r="C306" s="17" t="s">
        <v>288</v>
      </c>
      <c r="D306" s="17"/>
      <c r="E306" s="18">
        <f>E307</f>
        <v>65.239729999999994</v>
      </c>
    </row>
    <row r="307" spans="1:5" ht="15.75" x14ac:dyDescent="0.25">
      <c r="A307" s="16" t="s">
        <v>289</v>
      </c>
      <c r="B307" s="17" t="s">
        <v>553</v>
      </c>
      <c r="C307" s="17" t="s">
        <v>290</v>
      </c>
      <c r="D307" s="17"/>
      <c r="E307" s="18">
        <f>E308</f>
        <v>65.239729999999994</v>
      </c>
    </row>
    <row r="308" spans="1:5" ht="15.75" x14ac:dyDescent="0.25">
      <c r="A308" s="16" t="s">
        <v>303</v>
      </c>
      <c r="B308" s="17" t="s">
        <v>553</v>
      </c>
      <c r="C308" s="17" t="s">
        <v>304</v>
      </c>
      <c r="D308" s="17"/>
      <c r="E308" s="18">
        <f>E309</f>
        <v>65.239729999999994</v>
      </c>
    </row>
    <row r="309" spans="1:5" ht="15.75" x14ac:dyDescent="0.25">
      <c r="A309" s="19" t="s">
        <v>315</v>
      </c>
      <c r="B309" s="20" t="s">
        <v>553</v>
      </c>
      <c r="C309" s="20" t="s">
        <v>304</v>
      </c>
      <c r="D309" s="20" t="s">
        <v>316</v>
      </c>
      <c r="E309" s="21">
        <f>15.2+0.04+50-0.00027</f>
        <v>65.239729999999994</v>
      </c>
    </row>
    <row r="310" spans="1:5" ht="31.5" x14ac:dyDescent="0.25">
      <c r="A310" s="13" t="s">
        <v>581</v>
      </c>
      <c r="B310" s="14" t="s">
        <v>582</v>
      </c>
      <c r="C310" s="14"/>
      <c r="D310" s="14"/>
      <c r="E310" s="15">
        <f>E311+E379+E393</f>
        <v>434771.48100000003</v>
      </c>
    </row>
    <row r="311" spans="1:5" ht="15.75" x14ac:dyDescent="0.25">
      <c r="A311" s="16" t="s">
        <v>583</v>
      </c>
      <c r="B311" s="17" t="s">
        <v>582</v>
      </c>
      <c r="C311" s="17" t="s">
        <v>584</v>
      </c>
      <c r="D311" s="17"/>
      <c r="E311" s="18">
        <f>E312+E330+E354+E367+E374</f>
        <v>416725.09400000004</v>
      </c>
    </row>
    <row r="312" spans="1:5" ht="15.75" x14ac:dyDescent="0.25">
      <c r="A312" s="16" t="s">
        <v>585</v>
      </c>
      <c r="B312" s="17" t="s">
        <v>582</v>
      </c>
      <c r="C312" s="17" t="s">
        <v>586</v>
      </c>
      <c r="D312" s="17"/>
      <c r="E312" s="18">
        <f>E313+E315+E317+E319+E321+E324+E326+E328</f>
        <v>147012.42366</v>
      </c>
    </row>
    <row r="313" spans="1:5" ht="31.5" x14ac:dyDescent="0.25">
      <c r="A313" s="16" t="s">
        <v>492</v>
      </c>
      <c r="B313" s="17" t="s">
        <v>582</v>
      </c>
      <c r="C313" s="17" t="s">
        <v>587</v>
      </c>
      <c r="D313" s="17"/>
      <c r="E313" s="18">
        <v>134.63200000000001</v>
      </c>
    </row>
    <row r="314" spans="1:5" ht="31.5" x14ac:dyDescent="0.25">
      <c r="A314" s="19" t="s">
        <v>446</v>
      </c>
      <c r="B314" s="20" t="s">
        <v>582</v>
      </c>
      <c r="C314" s="20" t="s">
        <v>587</v>
      </c>
      <c r="D314" s="20" t="s">
        <v>447</v>
      </c>
      <c r="E314" s="21">
        <v>134.63200000000001</v>
      </c>
    </row>
    <row r="315" spans="1:5" ht="31.5" x14ac:dyDescent="0.25">
      <c r="A315" s="16" t="s">
        <v>588</v>
      </c>
      <c r="B315" s="17" t="s">
        <v>582</v>
      </c>
      <c r="C315" s="17" t="s">
        <v>589</v>
      </c>
      <c r="D315" s="17"/>
      <c r="E315" s="18">
        <f>E316</f>
        <v>52982.228999999992</v>
      </c>
    </row>
    <row r="316" spans="1:5" ht="31.5" x14ac:dyDescent="0.25">
      <c r="A316" s="19" t="s">
        <v>446</v>
      </c>
      <c r="B316" s="20" t="s">
        <v>582</v>
      </c>
      <c r="C316" s="20" t="s">
        <v>589</v>
      </c>
      <c r="D316" s="20" t="s">
        <v>447</v>
      </c>
      <c r="E316" s="21">
        <f>58288.793-40.769+6.575+17.63-230-5060</f>
        <v>52982.228999999992</v>
      </c>
    </row>
    <row r="317" spans="1:5" ht="31.5" x14ac:dyDescent="0.25">
      <c r="A317" s="16" t="s">
        <v>590</v>
      </c>
      <c r="B317" s="17" t="s">
        <v>582</v>
      </c>
      <c r="C317" s="17" t="s">
        <v>591</v>
      </c>
      <c r="D317" s="17"/>
      <c r="E317" s="18">
        <f>E318</f>
        <v>86943.168659999996</v>
      </c>
    </row>
    <row r="318" spans="1:5" ht="31.5" x14ac:dyDescent="0.25">
      <c r="A318" s="19" t="s">
        <v>446</v>
      </c>
      <c r="B318" s="20" t="s">
        <v>582</v>
      </c>
      <c r="C318" s="20" t="s">
        <v>591</v>
      </c>
      <c r="D318" s="20" t="s">
        <v>447</v>
      </c>
      <c r="E318" s="21">
        <f>82561.74-94.14574+4475.5744</f>
        <v>86943.168659999996</v>
      </c>
    </row>
    <row r="319" spans="1:5" ht="31.5" x14ac:dyDescent="0.25">
      <c r="A319" s="16" t="s">
        <v>592</v>
      </c>
      <c r="B319" s="20" t="s">
        <v>582</v>
      </c>
      <c r="C319" s="20" t="s">
        <v>593</v>
      </c>
      <c r="D319" s="20"/>
      <c r="E319" s="21">
        <f>E320</f>
        <v>3419.3940000000002</v>
      </c>
    </row>
    <row r="320" spans="1:5" ht="31.5" x14ac:dyDescent="0.25">
      <c r="A320" s="19" t="s">
        <v>446</v>
      </c>
      <c r="B320" s="20" t="s">
        <v>582</v>
      </c>
      <c r="C320" s="20" t="s">
        <v>593</v>
      </c>
      <c r="D320" s="20" t="s">
        <v>447</v>
      </c>
      <c r="E320" s="21">
        <f>4076.969-6.575-651</f>
        <v>3419.3940000000002</v>
      </c>
    </row>
    <row r="321" spans="1:5" ht="63" x14ac:dyDescent="0.25">
      <c r="A321" s="16" t="s">
        <v>594</v>
      </c>
      <c r="B321" s="17" t="s">
        <v>582</v>
      </c>
      <c r="C321" s="17" t="s">
        <v>595</v>
      </c>
      <c r="D321" s="17"/>
      <c r="E321" s="18">
        <f>E322</f>
        <v>2883.2</v>
      </c>
    </row>
    <row r="322" spans="1:5" ht="63" x14ac:dyDescent="0.25">
      <c r="A322" s="16" t="s">
        <v>594</v>
      </c>
      <c r="B322" s="17" t="s">
        <v>582</v>
      </c>
      <c r="C322" s="17" t="s">
        <v>596</v>
      </c>
      <c r="D322" s="17"/>
      <c r="E322" s="18">
        <f>E323</f>
        <v>2883.2</v>
      </c>
    </row>
    <row r="323" spans="1:5" ht="31.5" x14ac:dyDescent="0.25">
      <c r="A323" s="19" t="s">
        <v>446</v>
      </c>
      <c r="B323" s="20" t="s">
        <v>582</v>
      </c>
      <c r="C323" s="20" t="s">
        <v>596</v>
      </c>
      <c r="D323" s="20" t="s">
        <v>447</v>
      </c>
      <c r="E323" s="21">
        <f>2563.2+320</f>
        <v>2883.2</v>
      </c>
    </row>
    <row r="324" spans="1:5" ht="15.75" x14ac:dyDescent="0.25">
      <c r="A324" s="16" t="s">
        <v>597</v>
      </c>
      <c r="B324" s="17" t="s">
        <v>582</v>
      </c>
      <c r="C324" s="17" t="s">
        <v>598</v>
      </c>
      <c r="D324" s="17"/>
      <c r="E324" s="18">
        <f>E325</f>
        <v>415</v>
      </c>
    </row>
    <row r="325" spans="1:5" ht="31.5" x14ac:dyDescent="0.25">
      <c r="A325" s="19" t="s">
        <v>446</v>
      </c>
      <c r="B325" s="20" t="s">
        <v>582</v>
      </c>
      <c r="C325" s="20" t="s">
        <v>598</v>
      </c>
      <c r="D325" s="20" t="s">
        <v>447</v>
      </c>
      <c r="E325" s="21">
        <f>290+125</f>
        <v>415</v>
      </c>
    </row>
    <row r="326" spans="1:5" ht="31.5" x14ac:dyDescent="0.25">
      <c r="A326" s="16" t="s">
        <v>599</v>
      </c>
      <c r="B326" s="17" t="s">
        <v>582</v>
      </c>
      <c r="C326" s="17" t="s">
        <v>600</v>
      </c>
      <c r="D326" s="17"/>
      <c r="E326" s="18">
        <f>E327</f>
        <v>141</v>
      </c>
    </row>
    <row r="327" spans="1:5" ht="31.5" x14ac:dyDescent="0.25">
      <c r="A327" s="19" t="s">
        <v>446</v>
      </c>
      <c r="B327" s="20" t="s">
        <v>582</v>
      </c>
      <c r="C327" s="20" t="s">
        <v>600</v>
      </c>
      <c r="D327" s="20" t="s">
        <v>447</v>
      </c>
      <c r="E327" s="21">
        <f>71+70</f>
        <v>141</v>
      </c>
    </row>
    <row r="328" spans="1:5" ht="15.75" x14ac:dyDescent="0.25">
      <c r="A328" s="16" t="s">
        <v>601</v>
      </c>
      <c r="B328" s="17" t="s">
        <v>582</v>
      </c>
      <c r="C328" s="17" t="s">
        <v>602</v>
      </c>
      <c r="D328" s="17"/>
      <c r="E328" s="18">
        <f>E329</f>
        <v>93.8</v>
      </c>
    </row>
    <row r="329" spans="1:5" ht="31.5" x14ac:dyDescent="0.25">
      <c r="A329" s="19" t="s">
        <v>446</v>
      </c>
      <c r="B329" s="20" t="s">
        <v>582</v>
      </c>
      <c r="C329" s="20" t="s">
        <v>602</v>
      </c>
      <c r="D329" s="20" t="s">
        <v>447</v>
      </c>
      <c r="E329" s="21">
        <f>-9.4+103.2</f>
        <v>93.8</v>
      </c>
    </row>
    <row r="330" spans="1:5" ht="15.75" x14ac:dyDescent="0.25">
      <c r="A330" s="16" t="s">
        <v>603</v>
      </c>
      <c r="B330" s="17" t="s">
        <v>582</v>
      </c>
      <c r="C330" s="17" t="s">
        <v>604</v>
      </c>
      <c r="D330" s="17"/>
      <c r="E330" s="18">
        <f>E331+E333+E335+E337+E339+E342+E344+E346+E348+E350+E352</f>
        <v>226761.37834</v>
      </c>
    </row>
    <row r="331" spans="1:5" ht="31.5" x14ac:dyDescent="0.25">
      <c r="A331" s="16" t="s">
        <v>492</v>
      </c>
      <c r="B331" s="17" t="s">
        <v>582</v>
      </c>
      <c r="C331" s="17" t="s">
        <v>605</v>
      </c>
      <c r="D331" s="17"/>
      <c r="E331" s="18">
        <v>80.161000000000001</v>
      </c>
    </row>
    <row r="332" spans="1:5" ht="31.5" x14ac:dyDescent="0.25">
      <c r="A332" s="19" t="s">
        <v>446</v>
      </c>
      <c r="B332" s="20" t="s">
        <v>582</v>
      </c>
      <c r="C332" s="20" t="s">
        <v>605</v>
      </c>
      <c r="D332" s="20" t="s">
        <v>447</v>
      </c>
      <c r="E332" s="21">
        <v>80.161000000000001</v>
      </c>
    </row>
    <row r="333" spans="1:5" ht="31.5" x14ac:dyDescent="0.25">
      <c r="A333" s="16" t="s">
        <v>606</v>
      </c>
      <c r="B333" s="17" t="s">
        <v>582</v>
      </c>
      <c r="C333" s="17" t="s">
        <v>607</v>
      </c>
      <c r="D333" s="17"/>
      <c r="E333" s="18">
        <f>E334</f>
        <v>37068.934000000008</v>
      </c>
    </row>
    <row r="334" spans="1:5" ht="31.5" x14ac:dyDescent="0.25">
      <c r="A334" s="19" t="s">
        <v>446</v>
      </c>
      <c r="B334" s="20" t="s">
        <v>582</v>
      </c>
      <c r="C334" s="20" t="s">
        <v>607</v>
      </c>
      <c r="D334" s="20" t="s">
        <v>447</v>
      </c>
      <c r="E334" s="21">
        <f>43477.393-133.208-6.575-95.969-149.215-3.492-4670-1350</f>
        <v>37068.934000000008</v>
      </c>
    </row>
    <row r="335" spans="1:5" ht="31.5" x14ac:dyDescent="0.25">
      <c r="A335" s="16" t="s">
        <v>590</v>
      </c>
      <c r="B335" s="17" t="s">
        <v>582</v>
      </c>
      <c r="C335" s="17" t="s">
        <v>608</v>
      </c>
      <c r="D335" s="17"/>
      <c r="E335" s="18">
        <f>E336</f>
        <v>162476.23134</v>
      </c>
    </row>
    <row r="336" spans="1:5" ht="31.5" x14ac:dyDescent="0.25">
      <c r="A336" s="19" t="s">
        <v>446</v>
      </c>
      <c r="B336" s="20" t="s">
        <v>582</v>
      </c>
      <c r="C336" s="20" t="s">
        <v>608</v>
      </c>
      <c r="D336" s="20" t="s">
        <v>447</v>
      </c>
      <c r="E336" s="21">
        <f>165643.06+1214.6-2844.42087-1537.00779</f>
        <v>162476.23134</v>
      </c>
    </row>
    <row r="337" spans="1:5" ht="31.5" x14ac:dyDescent="0.25">
      <c r="A337" s="16" t="s">
        <v>592</v>
      </c>
      <c r="B337" s="17" t="s">
        <v>582</v>
      </c>
      <c r="C337" s="17" t="s">
        <v>609</v>
      </c>
      <c r="D337" s="17"/>
      <c r="E337" s="21">
        <f>E338</f>
        <v>13978.383000000002</v>
      </c>
    </row>
    <row r="338" spans="1:5" ht="31.5" x14ac:dyDescent="0.25">
      <c r="A338" s="19" t="s">
        <v>446</v>
      </c>
      <c r="B338" s="20" t="s">
        <v>582</v>
      </c>
      <c r="C338" s="17" t="s">
        <v>609</v>
      </c>
      <c r="D338" s="20" t="s">
        <v>447</v>
      </c>
      <c r="E338" s="21">
        <f>13320.808+657.575</f>
        <v>13978.383000000002</v>
      </c>
    </row>
    <row r="339" spans="1:5" ht="63" x14ac:dyDescent="0.25">
      <c r="A339" s="16" t="s">
        <v>594</v>
      </c>
      <c r="B339" s="17" t="s">
        <v>582</v>
      </c>
      <c r="C339" s="17" t="s">
        <v>610</v>
      </c>
      <c r="D339" s="17"/>
      <c r="E339" s="18">
        <f>E340</f>
        <v>598</v>
      </c>
    </row>
    <row r="340" spans="1:5" ht="63" x14ac:dyDescent="0.25">
      <c r="A340" s="16" t="s">
        <v>594</v>
      </c>
      <c r="B340" s="17" t="s">
        <v>582</v>
      </c>
      <c r="C340" s="17" t="s">
        <v>611</v>
      </c>
      <c r="D340" s="17"/>
      <c r="E340" s="18">
        <f>E341</f>
        <v>598</v>
      </c>
    </row>
    <row r="341" spans="1:5" ht="31.5" x14ac:dyDescent="0.25">
      <c r="A341" s="19" t="s">
        <v>446</v>
      </c>
      <c r="B341" s="20" t="s">
        <v>582</v>
      </c>
      <c r="C341" s="20" t="s">
        <v>611</v>
      </c>
      <c r="D341" s="20" t="s">
        <v>447</v>
      </c>
      <c r="E341" s="21">
        <f>357+241</f>
        <v>598</v>
      </c>
    </row>
    <row r="342" spans="1:5" ht="15.75" x14ac:dyDescent="0.25">
      <c r="A342" s="16" t="s">
        <v>601</v>
      </c>
      <c r="B342" s="17" t="s">
        <v>582</v>
      </c>
      <c r="C342" s="17" t="s">
        <v>612</v>
      </c>
      <c r="D342" s="17"/>
      <c r="E342" s="18">
        <f>E343</f>
        <v>760.88600000000008</v>
      </c>
    </row>
    <row r="343" spans="1:5" ht="31.5" x14ac:dyDescent="0.25">
      <c r="A343" s="19" t="s">
        <v>446</v>
      </c>
      <c r="B343" s="20" t="s">
        <v>582</v>
      </c>
      <c r="C343" s="20" t="s">
        <v>612</v>
      </c>
      <c r="D343" s="20" t="s">
        <v>447</v>
      </c>
      <c r="E343" s="21">
        <f>105.369+661-5.483</f>
        <v>760.88600000000008</v>
      </c>
    </row>
    <row r="344" spans="1:5" ht="15.75" x14ac:dyDescent="0.25">
      <c r="A344" s="16" t="s">
        <v>613</v>
      </c>
      <c r="B344" s="17" t="s">
        <v>582</v>
      </c>
      <c r="C344" s="17" t="s">
        <v>614</v>
      </c>
      <c r="D344" s="17"/>
      <c r="E344" s="18">
        <f>E345</f>
        <v>43</v>
      </c>
    </row>
    <row r="345" spans="1:5" ht="31.5" x14ac:dyDescent="0.25">
      <c r="A345" s="19" t="s">
        <v>446</v>
      </c>
      <c r="B345" s="20" t="s">
        <v>582</v>
      </c>
      <c r="C345" s="20" t="s">
        <v>614</v>
      </c>
      <c r="D345" s="20" t="s">
        <v>447</v>
      </c>
      <c r="E345" s="21">
        <f>33+10</f>
        <v>43</v>
      </c>
    </row>
    <row r="346" spans="1:5" ht="15.75" x14ac:dyDescent="0.25">
      <c r="A346" s="16" t="s">
        <v>615</v>
      </c>
      <c r="B346" s="17" t="s">
        <v>582</v>
      </c>
      <c r="C346" s="17" t="s">
        <v>616</v>
      </c>
      <c r="D346" s="17"/>
      <c r="E346" s="18">
        <f>E347</f>
        <v>561.2829999999999</v>
      </c>
    </row>
    <row r="347" spans="1:5" ht="31.5" x14ac:dyDescent="0.25">
      <c r="A347" s="19" t="s">
        <v>446</v>
      </c>
      <c r="B347" s="20" t="s">
        <v>582</v>
      </c>
      <c r="C347" s="20" t="s">
        <v>616</v>
      </c>
      <c r="D347" s="20" t="s">
        <v>447</v>
      </c>
      <c r="E347" s="21">
        <f>425-116.037+166.32+86</f>
        <v>561.2829999999999</v>
      </c>
    </row>
    <row r="348" spans="1:5" ht="15.75" x14ac:dyDescent="0.25">
      <c r="A348" s="16" t="s">
        <v>617</v>
      </c>
      <c r="B348" s="17" t="s">
        <v>582</v>
      </c>
      <c r="C348" s="17" t="s">
        <v>618</v>
      </c>
      <c r="D348" s="17"/>
      <c r="E348" s="18">
        <f>E349</f>
        <v>2676</v>
      </c>
    </row>
    <row r="349" spans="1:5" ht="31.5" x14ac:dyDescent="0.25">
      <c r="A349" s="19" t="s">
        <v>446</v>
      </c>
      <c r="B349" s="20" t="s">
        <v>582</v>
      </c>
      <c r="C349" s="20" t="s">
        <v>618</v>
      </c>
      <c r="D349" s="20" t="s">
        <v>447</v>
      </c>
      <c r="E349" s="21">
        <f>76+2600</f>
        <v>2676</v>
      </c>
    </row>
    <row r="350" spans="1:5" ht="47.25" x14ac:dyDescent="0.25">
      <c r="A350" s="16" t="s">
        <v>619</v>
      </c>
      <c r="B350" s="17" t="s">
        <v>582</v>
      </c>
      <c r="C350" s="17" t="s">
        <v>620</v>
      </c>
      <c r="D350" s="17"/>
      <c r="E350" s="18">
        <v>8218.5</v>
      </c>
    </row>
    <row r="351" spans="1:5" ht="31.5" x14ac:dyDescent="0.25">
      <c r="A351" s="19" t="s">
        <v>446</v>
      </c>
      <c r="B351" s="20" t="s">
        <v>582</v>
      </c>
      <c r="C351" s="20" t="s">
        <v>620</v>
      </c>
      <c r="D351" s="20" t="s">
        <v>447</v>
      </c>
      <c r="E351" s="21">
        <v>8218.5</v>
      </c>
    </row>
    <row r="352" spans="1:5" ht="15.75" x14ac:dyDescent="0.25">
      <c r="A352" s="16" t="s">
        <v>621</v>
      </c>
      <c r="B352" s="17" t="s">
        <v>582</v>
      </c>
      <c r="C352" s="17" t="s">
        <v>622</v>
      </c>
      <c r="D352" s="17"/>
      <c r="E352" s="18">
        <v>300</v>
      </c>
    </row>
    <row r="353" spans="1:5" ht="31.5" x14ac:dyDescent="0.25">
      <c r="A353" s="19" t="s">
        <v>446</v>
      </c>
      <c r="B353" s="20" t="s">
        <v>582</v>
      </c>
      <c r="C353" s="20" t="s">
        <v>622</v>
      </c>
      <c r="D353" s="20" t="s">
        <v>447</v>
      </c>
      <c r="E353" s="21">
        <v>300</v>
      </c>
    </row>
    <row r="354" spans="1:5" ht="15.75" x14ac:dyDescent="0.25">
      <c r="A354" s="16" t="s">
        <v>623</v>
      </c>
      <c r="B354" s="17" t="s">
        <v>582</v>
      </c>
      <c r="C354" s="17" t="s">
        <v>624</v>
      </c>
      <c r="D354" s="17"/>
      <c r="E354" s="18">
        <f>E355+E357+E359+E361+E363+E365</f>
        <v>21668.732</v>
      </c>
    </row>
    <row r="355" spans="1:5" ht="15.75" x14ac:dyDescent="0.25">
      <c r="A355" s="16" t="s">
        <v>625</v>
      </c>
      <c r="B355" s="17" t="s">
        <v>582</v>
      </c>
      <c r="C355" s="17" t="s">
        <v>626</v>
      </c>
      <c r="D355" s="17"/>
      <c r="E355" s="18">
        <f>E356</f>
        <v>473.62599999999998</v>
      </c>
    </row>
    <row r="356" spans="1:5" ht="15.75" x14ac:dyDescent="0.25">
      <c r="A356" s="19" t="s">
        <v>374</v>
      </c>
      <c r="B356" s="20" t="s">
        <v>582</v>
      </c>
      <c r="C356" s="20" t="s">
        <v>626</v>
      </c>
      <c r="D356" s="20" t="s">
        <v>375</v>
      </c>
      <c r="E356" s="21">
        <f>500-26.374</f>
        <v>473.62599999999998</v>
      </c>
    </row>
    <row r="357" spans="1:5" ht="31.5" x14ac:dyDescent="0.25">
      <c r="A357" s="16" t="s">
        <v>627</v>
      </c>
      <c r="B357" s="17" t="s">
        <v>582</v>
      </c>
      <c r="C357" s="17" t="s">
        <v>628</v>
      </c>
      <c r="D357" s="17"/>
      <c r="E357" s="18">
        <v>1006.274</v>
      </c>
    </row>
    <row r="358" spans="1:5" ht="15.75" x14ac:dyDescent="0.25">
      <c r="A358" s="19" t="s">
        <v>374</v>
      </c>
      <c r="B358" s="20" t="s">
        <v>582</v>
      </c>
      <c r="C358" s="20" t="s">
        <v>628</v>
      </c>
      <c r="D358" s="20" t="s">
        <v>375</v>
      </c>
      <c r="E358" s="21">
        <v>1006.274</v>
      </c>
    </row>
    <row r="359" spans="1:5" ht="31.5" x14ac:dyDescent="0.25">
      <c r="A359" s="16" t="s">
        <v>588</v>
      </c>
      <c r="B359" s="17" t="s">
        <v>582</v>
      </c>
      <c r="C359" s="17" t="s">
        <v>629</v>
      </c>
      <c r="D359" s="17"/>
      <c r="E359" s="18">
        <f>E360</f>
        <v>15438.954999999998</v>
      </c>
    </row>
    <row r="360" spans="1:5" ht="31.5" x14ac:dyDescent="0.25">
      <c r="A360" s="19" t="s">
        <v>446</v>
      </c>
      <c r="B360" s="20" t="s">
        <v>582</v>
      </c>
      <c r="C360" s="20" t="s">
        <v>629</v>
      </c>
      <c r="D360" s="20" t="s">
        <v>447</v>
      </c>
      <c r="E360" s="21">
        <f>20621.67-2506.464-1.251+15-3390+700</f>
        <v>15438.954999999998</v>
      </c>
    </row>
    <row r="361" spans="1:5" ht="31.5" x14ac:dyDescent="0.25">
      <c r="A361" s="16" t="s">
        <v>478</v>
      </c>
      <c r="B361" s="17" t="s">
        <v>582</v>
      </c>
      <c r="C361" s="17" t="s">
        <v>630</v>
      </c>
      <c r="D361" s="17"/>
      <c r="E361" s="18">
        <f>E362</f>
        <v>4074.66</v>
      </c>
    </row>
    <row r="362" spans="1:5" ht="31.5" x14ac:dyDescent="0.25">
      <c r="A362" s="19" t="s">
        <v>446</v>
      </c>
      <c r="B362" s="20" t="s">
        <v>582</v>
      </c>
      <c r="C362" s="20" t="s">
        <v>630</v>
      </c>
      <c r="D362" s="20" t="s">
        <v>447</v>
      </c>
      <c r="E362" s="21">
        <f>1568.196+2506.464</f>
        <v>4074.66</v>
      </c>
    </row>
    <row r="363" spans="1:5" ht="31.5" x14ac:dyDescent="0.25">
      <c r="A363" s="16" t="s">
        <v>492</v>
      </c>
      <c r="B363" s="17" t="s">
        <v>582</v>
      </c>
      <c r="C363" s="17" t="s">
        <v>631</v>
      </c>
      <c r="D363" s="17"/>
      <c r="E363" s="18">
        <v>8.5500000000000007</v>
      </c>
    </row>
    <row r="364" spans="1:5" ht="31.5" x14ac:dyDescent="0.25">
      <c r="A364" s="19" t="s">
        <v>446</v>
      </c>
      <c r="B364" s="20" t="s">
        <v>582</v>
      </c>
      <c r="C364" s="20" t="s">
        <v>631</v>
      </c>
      <c r="D364" s="20" t="s">
        <v>447</v>
      </c>
      <c r="E364" s="21">
        <v>8.5500000000000007</v>
      </c>
    </row>
    <row r="365" spans="1:5" ht="31.5" x14ac:dyDescent="0.25">
      <c r="A365" s="16" t="s">
        <v>632</v>
      </c>
      <c r="B365" s="17" t="s">
        <v>582</v>
      </c>
      <c r="C365" s="17" t="s">
        <v>633</v>
      </c>
      <c r="D365" s="17"/>
      <c r="E365" s="18">
        <v>666.66700000000003</v>
      </c>
    </row>
    <row r="366" spans="1:5" ht="31.5" x14ac:dyDescent="0.25">
      <c r="A366" s="19" t="s">
        <v>446</v>
      </c>
      <c r="B366" s="20" t="s">
        <v>582</v>
      </c>
      <c r="C366" s="20" t="s">
        <v>633</v>
      </c>
      <c r="D366" s="20" t="s">
        <v>447</v>
      </c>
      <c r="E366" s="21">
        <v>666.66700000000003</v>
      </c>
    </row>
    <row r="367" spans="1:5" ht="15.75" x14ac:dyDescent="0.25">
      <c r="A367" s="16" t="s">
        <v>634</v>
      </c>
      <c r="B367" s="17" t="s">
        <v>582</v>
      </c>
      <c r="C367" s="17" t="s">
        <v>635</v>
      </c>
      <c r="D367" s="17"/>
      <c r="E367" s="18">
        <f>E368+E370+E372</f>
        <v>1304.1659999999999</v>
      </c>
    </row>
    <row r="368" spans="1:5" ht="15.75" x14ac:dyDescent="0.25">
      <c r="A368" s="16" t="s">
        <v>636</v>
      </c>
      <c r="B368" s="17" t="s">
        <v>582</v>
      </c>
      <c r="C368" s="17" t="s">
        <v>637</v>
      </c>
      <c r="D368" s="17"/>
      <c r="E368" s="18">
        <f>E369</f>
        <v>15.600000000000009</v>
      </c>
    </row>
    <row r="369" spans="1:5" ht="31.5" x14ac:dyDescent="0.25">
      <c r="A369" s="19" t="s">
        <v>446</v>
      </c>
      <c r="B369" s="20" t="s">
        <v>582</v>
      </c>
      <c r="C369" s="20" t="s">
        <v>637</v>
      </c>
      <c r="D369" s="20" t="s">
        <v>447</v>
      </c>
      <c r="E369" s="21">
        <f>200-72.35-112.05</f>
        <v>15.600000000000009</v>
      </c>
    </row>
    <row r="370" spans="1:5" ht="15.75" x14ac:dyDescent="0.25">
      <c r="A370" s="16" t="s">
        <v>638</v>
      </c>
      <c r="B370" s="17" t="s">
        <v>582</v>
      </c>
      <c r="C370" s="17" t="s">
        <v>639</v>
      </c>
      <c r="D370" s="17"/>
      <c r="E370" s="18">
        <v>1143.5</v>
      </c>
    </row>
    <row r="371" spans="1:5" ht="31.5" x14ac:dyDescent="0.25">
      <c r="A371" s="19" t="s">
        <v>446</v>
      </c>
      <c r="B371" s="20" t="s">
        <v>582</v>
      </c>
      <c r="C371" s="20" t="s">
        <v>639</v>
      </c>
      <c r="D371" s="20" t="s">
        <v>447</v>
      </c>
      <c r="E371" s="21">
        <v>1143.5</v>
      </c>
    </row>
    <row r="372" spans="1:5" ht="15.75" x14ac:dyDescent="0.25">
      <c r="A372" s="16" t="s">
        <v>640</v>
      </c>
      <c r="B372" s="17" t="s">
        <v>582</v>
      </c>
      <c r="C372" s="17" t="s">
        <v>641</v>
      </c>
      <c r="D372" s="17"/>
      <c r="E372" s="18">
        <f>E373</f>
        <v>145.066</v>
      </c>
    </row>
    <row r="373" spans="1:5" ht="31.5" x14ac:dyDescent="0.25">
      <c r="A373" s="19" t="s">
        <v>446</v>
      </c>
      <c r="B373" s="20" t="s">
        <v>582</v>
      </c>
      <c r="C373" s="20" t="s">
        <v>641</v>
      </c>
      <c r="D373" s="20" t="s">
        <v>447</v>
      </c>
      <c r="E373" s="21">
        <f>156.65-11.584</f>
        <v>145.066</v>
      </c>
    </row>
    <row r="374" spans="1:5" ht="15.75" x14ac:dyDescent="0.25">
      <c r="A374" s="16" t="s">
        <v>642</v>
      </c>
      <c r="B374" s="17" t="s">
        <v>582</v>
      </c>
      <c r="C374" s="17" t="s">
        <v>643</v>
      </c>
      <c r="D374" s="17"/>
      <c r="E374" s="18">
        <f>E375</f>
        <v>19978.394</v>
      </c>
    </row>
    <row r="375" spans="1:5" ht="15.75" x14ac:dyDescent="0.25">
      <c r="A375" s="16" t="s">
        <v>644</v>
      </c>
      <c r="B375" s="17" t="s">
        <v>582</v>
      </c>
      <c r="C375" s="17" t="s">
        <v>645</v>
      </c>
      <c r="D375" s="17"/>
      <c r="E375" s="18">
        <f>E376+E377+E378</f>
        <v>19978.394</v>
      </c>
    </row>
    <row r="376" spans="1:5" ht="47.25" x14ac:dyDescent="0.25">
      <c r="A376" s="19" t="s">
        <v>293</v>
      </c>
      <c r="B376" s="20" t="s">
        <v>582</v>
      </c>
      <c r="C376" s="20" t="s">
        <v>645</v>
      </c>
      <c r="D376" s="20" t="s">
        <v>294</v>
      </c>
      <c r="E376" s="21">
        <f>16636.627+311.609+1428.97+0.062-41.576</f>
        <v>18335.692000000003</v>
      </c>
    </row>
    <row r="377" spans="1:5" ht="15.75" x14ac:dyDescent="0.25">
      <c r="A377" s="19" t="s">
        <v>297</v>
      </c>
      <c r="B377" s="20" t="s">
        <v>582</v>
      </c>
      <c r="C377" s="20" t="s">
        <v>645</v>
      </c>
      <c r="D377" s="20" t="s">
        <v>298</v>
      </c>
      <c r="E377" s="21">
        <f>20+1646.038+14.897-5.115-43.43-12.995-9.796</f>
        <v>1609.5989999999999</v>
      </c>
    </row>
    <row r="378" spans="1:5" ht="15.75" x14ac:dyDescent="0.25">
      <c r="A378" s="19" t="s">
        <v>315</v>
      </c>
      <c r="B378" s="20" t="s">
        <v>582</v>
      </c>
      <c r="C378" s="20" t="s">
        <v>645</v>
      </c>
      <c r="D378" s="20" t="s">
        <v>316</v>
      </c>
      <c r="E378" s="21">
        <f>48-14.897</f>
        <v>33.103000000000002</v>
      </c>
    </row>
    <row r="379" spans="1:5" ht="31.5" x14ac:dyDescent="0.25">
      <c r="A379" s="16" t="s">
        <v>414</v>
      </c>
      <c r="B379" s="17" t="s">
        <v>582</v>
      </c>
      <c r="C379" s="17" t="s">
        <v>415</v>
      </c>
      <c r="D379" s="17"/>
      <c r="E379" s="18">
        <f>16255.887+9</f>
        <v>16264.887000000001</v>
      </c>
    </row>
    <row r="380" spans="1:5" ht="15.75" x14ac:dyDescent="0.25">
      <c r="A380" s="16" t="s">
        <v>646</v>
      </c>
      <c r="B380" s="17" t="s">
        <v>582</v>
      </c>
      <c r="C380" s="17" t="s">
        <v>647</v>
      </c>
      <c r="D380" s="17"/>
      <c r="E380" s="18">
        <f>E381</f>
        <v>2396</v>
      </c>
    </row>
    <row r="381" spans="1:5" ht="47.25" x14ac:dyDescent="0.25">
      <c r="A381" s="16" t="s">
        <v>648</v>
      </c>
      <c r="B381" s="17" t="s">
        <v>582</v>
      </c>
      <c r="C381" s="17" t="s">
        <v>649</v>
      </c>
      <c r="D381" s="17"/>
      <c r="E381" s="18">
        <f>E382</f>
        <v>2396</v>
      </c>
    </row>
    <row r="382" spans="1:5" ht="15.75" x14ac:dyDescent="0.25">
      <c r="A382" s="19" t="s">
        <v>374</v>
      </c>
      <c r="B382" s="20" t="s">
        <v>582</v>
      </c>
      <c r="C382" s="20" t="s">
        <v>649</v>
      </c>
      <c r="D382" s="20" t="s">
        <v>375</v>
      </c>
      <c r="E382" s="21">
        <f>9+2387</f>
        <v>2396</v>
      </c>
    </row>
    <row r="383" spans="1:5" ht="15.75" x14ac:dyDescent="0.25">
      <c r="A383" s="16" t="s">
        <v>650</v>
      </c>
      <c r="B383" s="17" t="s">
        <v>582</v>
      </c>
      <c r="C383" s="17" t="s">
        <v>651</v>
      </c>
      <c r="D383" s="17"/>
      <c r="E383" s="18">
        <v>155</v>
      </c>
    </row>
    <row r="384" spans="1:5" ht="15.75" x14ac:dyDescent="0.25">
      <c r="A384" s="16" t="s">
        <v>652</v>
      </c>
      <c r="B384" s="17" t="s">
        <v>582</v>
      </c>
      <c r="C384" s="17" t="s">
        <v>653</v>
      </c>
      <c r="D384" s="17"/>
      <c r="E384" s="18">
        <v>155</v>
      </c>
    </row>
    <row r="385" spans="1:5" ht="31.5" x14ac:dyDescent="0.25">
      <c r="A385" s="19" t="s">
        <v>446</v>
      </c>
      <c r="B385" s="20" t="s">
        <v>582</v>
      </c>
      <c r="C385" s="20" t="s">
        <v>653</v>
      </c>
      <c r="D385" s="20" t="s">
        <v>447</v>
      </c>
      <c r="E385" s="21">
        <v>155</v>
      </c>
    </row>
    <row r="386" spans="1:5" ht="15.75" x14ac:dyDescent="0.25">
      <c r="A386" s="16" t="s">
        <v>416</v>
      </c>
      <c r="B386" s="17" t="s">
        <v>582</v>
      </c>
      <c r="C386" s="17" t="s">
        <v>417</v>
      </c>
      <c r="D386" s="17"/>
      <c r="E386" s="18">
        <f>E387</f>
        <v>9425.9770000000008</v>
      </c>
    </row>
    <row r="387" spans="1:5" ht="31.5" x14ac:dyDescent="0.25">
      <c r="A387" s="16" t="s">
        <v>654</v>
      </c>
      <c r="B387" s="17" t="s">
        <v>582</v>
      </c>
      <c r="C387" s="17" t="s">
        <v>655</v>
      </c>
      <c r="D387" s="17"/>
      <c r="E387" s="18">
        <f>E388</f>
        <v>9425.9770000000008</v>
      </c>
    </row>
    <row r="388" spans="1:5" ht="31.5" x14ac:dyDescent="0.25">
      <c r="A388" s="19" t="s">
        <v>446</v>
      </c>
      <c r="B388" s="20" t="s">
        <v>582</v>
      </c>
      <c r="C388" s="20" t="s">
        <v>655</v>
      </c>
      <c r="D388" s="20" t="s">
        <v>447</v>
      </c>
      <c r="E388" s="21">
        <f>9425.977</f>
        <v>9425.9770000000008</v>
      </c>
    </row>
    <row r="389" spans="1:5" ht="15.75" x14ac:dyDescent="0.25">
      <c r="A389" s="16" t="s">
        <v>422</v>
      </c>
      <c r="B389" s="17" t="s">
        <v>582</v>
      </c>
      <c r="C389" s="17" t="s">
        <v>423</v>
      </c>
      <c r="D389" s="17"/>
      <c r="E389" s="18">
        <f>E390</f>
        <v>4287.91</v>
      </c>
    </row>
    <row r="390" spans="1:5" ht="31.5" x14ac:dyDescent="0.25">
      <c r="A390" s="16" t="s">
        <v>424</v>
      </c>
      <c r="B390" s="17" t="s">
        <v>582</v>
      </c>
      <c r="C390" s="17" t="s">
        <v>425</v>
      </c>
      <c r="D390" s="17"/>
      <c r="E390" s="18">
        <f>E391</f>
        <v>4287.91</v>
      </c>
    </row>
    <row r="391" spans="1:5" ht="31.5" x14ac:dyDescent="0.25">
      <c r="A391" s="16" t="s">
        <v>492</v>
      </c>
      <c r="B391" s="17" t="s">
        <v>582</v>
      </c>
      <c r="C391" s="17" t="s">
        <v>551</v>
      </c>
      <c r="D391" s="17"/>
      <c r="E391" s="18">
        <f>E392</f>
        <v>4287.91</v>
      </c>
    </row>
    <row r="392" spans="1:5" ht="31.5" x14ac:dyDescent="0.25">
      <c r="A392" s="19" t="s">
        <v>446</v>
      </c>
      <c r="B392" s="20" t="s">
        <v>582</v>
      </c>
      <c r="C392" s="20" t="s">
        <v>551</v>
      </c>
      <c r="D392" s="20" t="s">
        <v>447</v>
      </c>
      <c r="E392" s="21">
        <f>4287.91</f>
        <v>4287.91</v>
      </c>
    </row>
    <row r="393" spans="1:5" ht="15.75" x14ac:dyDescent="0.25">
      <c r="A393" s="16" t="s">
        <v>287</v>
      </c>
      <c r="B393" s="17" t="s">
        <v>582</v>
      </c>
      <c r="C393" s="17" t="s">
        <v>288</v>
      </c>
      <c r="D393" s="17"/>
      <c r="E393" s="18">
        <f>E394</f>
        <v>1781.5</v>
      </c>
    </row>
    <row r="394" spans="1:5" ht="15.75" x14ac:dyDescent="0.25">
      <c r="A394" s="16" t="s">
        <v>289</v>
      </c>
      <c r="B394" s="17" t="s">
        <v>582</v>
      </c>
      <c r="C394" s="17" t="s">
        <v>290</v>
      </c>
      <c r="D394" s="17"/>
      <c r="E394" s="18">
        <f>E395+E398</f>
        <v>1781.5</v>
      </c>
    </row>
    <row r="395" spans="1:5" ht="63" x14ac:dyDescent="0.25">
      <c r="A395" s="16" t="s">
        <v>456</v>
      </c>
      <c r="B395" s="17" t="s">
        <v>582</v>
      </c>
      <c r="C395" s="17" t="s">
        <v>457</v>
      </c>
      <c r="D395" s="17"/>
      <c r="E395" s="18">
        <f>E396+E397</f>
        <v>43.6</v>
      </c>
    </row>
    <row r="396" spans="1:5" ht="47.25" x14ac:dyDescent="0.25">
      <c r="A396" s="19" t="s">
        <v>293</v>
      </c>
      <c r="B396" s="20" t="s">
        <v>582</v>
      </c>
      <c r="C396" s="20" t="s">
        <v>457</v>
      </c>
      <c r="D396" s="20" t="s">
        <v>294</v>
      </c>
      <c r="E396" s="21">
        <v>31.126000000000001</v>
      </c>
    </row>
    <row r="397" spans="1:5" ht="15.75" x14ac:dyDescent="0.25">
      <c r="A397" s="19" t="s">
        <v>297</v>
      </c>
      <c r="B397" s="20" t="s">
        <v>582</v>
      </c>
      <c r="C397" s="20" t="s">
        <v>457</v>
      </c>
      <c r="D397" s="20" t="s">
        <v>298</v>
      </c>
      <c r="E397" s="21">
        <f>8.974+3.5</f>
        <v>12.474</v>
      </c>
    </row>
    <row r="398" spans="1:5" ht="63" x14ac:dyDescent="0.25">
      <c r="A398" s="31" t="s">
        <v>656</v>
      </c>
      <c r="B398" s="17" t="s">
        <v>582</v>
      </c>
      <c r="C398" s="17" t="s">
        <v>657</v>
      </c>
      <c r="D398" s="17"/>
      <c r="E398" s="18">
        <f>E399+E400</f>
        <v>1737.9</v>
      </c>
    </row>
    <row r="399" spans="1:5" ht="47.25" x14ac:dyDescent="0.25">
      <c r="A399" s="19" t="s">
        <v>293</v>
      </c>
      <c r="B399" s="20" t="s">
        <v>582</v>
      </c>
      <c r="C399" s="20" t="s">
        <v>657</v>
      </c>
      <c r="D399" s="20" t="s">
        <v>294</v>
      </c>
      <c r="E399" s="21">
        <f>1456.125+131.775+12</f>
        <v>1599.9</v>
      </c>
    </row>
    <row r="400" spans="1:5" ht="15.75" x14ac:dyDescent="0.25">
      <c r="A400" s="19" t="s">
        <v>297</v>
      </c>
      <c r="B400" s="20" t="s">
        <v>582</v>
      </c>
      <c r="C400" s="20" t="s">
        <v>657</v>
      </c>
      <c r="D400" s="20" t="s">
        <v>298</v>
      </c>
      <c r="E400" s="21">
        <f>150-6.9-8.323-11.737+2.6+12.36</f>
        <v>138</v>
      </c>
    </row>
    <row r="401" spans="1:5" ht="31.5" x14ac:dyDescent="0.25">
      <c r="A401" s="13" t="s">
        <v>658</v>
      </c>
      <c r="B401" s="14" t="s">
        <v>659</v>
      </c>
      <c r="C401" s="14"/>
      <c r="D401" s="14"/>
      <c r="E401" s="15">
        <f>E402+E417</f>
        <v>69946.19200000001</v>
      </c>
    </row>
    <row r="402" spans="1:5" ht="31.5" x14ac:dyDescent="0.25">
      <c r="A402" s="16" t="s">
        <v>394</v>
      </c>
      <c r="B402" s="17" t="s">
        <v>659</v>
      </c>
      <c r="C402" s="17" t="s">
        <v>395</v>
      </c>
      <c r="D402" s="17"/>
      <c r="E402" s="18">
        <f>E403</f>
        <v>68329.69200000001</v>
      </c>
    </row>
    <row r="403" spans="1:5" ht="15.75" x14ac:dyDescent="0.25">
      <c r="A403" s="16" t="s">
        <v>660</v>
      </c>
      <c r="B403" s="17" t="s">
        <v>659</v>
      </c>
      <c r="C403" s="17" t="s">
        <v>661</v>
      </c>
      <c r="D403" s="17"/>
      <c r="E403" s="18">
        <f>E404+E407+E409+E415</f>
        <v>68329.69200000001</v>
      </c>
    </row>
    <row r="404" spans="1:5" ht="31.5" x14ac:dyDescent="0.25">
      <c r="A404" s="16" t="s">
        <v>662</v>
      </c>
      <c r="B404" s="17" t="s">
        <v>659</v>
      </c>
      <c r="C404" s="17" t="s">
        <v>663</v>
      </c>
      <c r="D404" s="17"/>
      <c r="E404" s="18">
        <v>595.9</v>
      </c>
    </row>
    <row r="405" spans="1:5" ht="31.5" x14ac:dyDescent="0.25">
      <c r="A405" s="16" t="s">
        <v>662</v>
      </c>
      <c r="B405" s="17" t="s">
        <v>659</v>
      </c>
      <c r="C405" s="17" t="s">
        <v>664</v>
      </c>
      <c r="D405" s="17"/>
      <c r="E405" s="18">
        <v>595.9</v>
      </c>
    </row>
    <row r="406" spans="1:5" ht="15.75" x14ac:dyDescent="0.25">
      <c r="A406" s="19" t="s">
        <v>321</v>
      </c>
      <c r="B406" s="20" t="s">
        <v>659</v>
      </c>
      <c r="C406" s="20" t="s">
        <v>664</v>
      </c>
      <c r="D406" s="20" t="s">
        <v>322</v>
      </c>
      <c r="E406" s="21">
        <v>595.9</v>
      </c>
    </row>
    <row r="407" spans="1:5" ht="15.75" x14ac:dyDescent="0.25">
      <c r="A407" s="16" t="s">
        <v>665</v>
      </c>
      <c r="B407" s="17" t="s">
        <v>659</v>
      </c>
      <c r="C407" s="17" t="s">
        <v>666</v>
      </c>
      <c r="D407" s="17"/>
      <c r="E407" s="18">
        <f>E408</f>
        <v>46274.904000000002</v>
      </c>
    </row>
    <row r="408" spans="1:5" ht="15.75" x14ac:dyDescent="0.25">
      <c r="A408" s="19" t="s">
        <v>321</v>
      </c>
      <c r="B408" s="20" t="s">
        <v>659</v>
      </c>
      <c r="C408" s="20" t="s">
        <v>666</v>
      </c>
      <c r="D408" s="20" t="s">
        <v>322</v>
      </c>
      <c r="E408" s="21">
        <f>8966.3+29646.688+1216.334+1600+700.5+315+2607.512+1222.57</f>
        <v>46274.904000000002</v>
      </c>
    </row>
    <row r="409" spans="1:5" ht="15.75" x14ac:dyDescent="0.25">
      <c r="A409" s="16" t="s">
        <v>667</v>
      </c>
      <c r="B409" s="17" t="s">
        <v>659</v>
      </c>
      <c r="C409" s="17" t="s">
        <v>668</v>
      </c>
      <c r="D409" s="17"/>
      <c r="E409" s="18">
        <f>E410+E411+E412+E414</f>
        <v>13781.887999999999</v>
      </c>
    </row>
    <row r="410" spans="1:5" ht="47.25" x14ac:dyDescent="0.25">
      <c r="A410" s="19" t="s">
        <v>293</v>
      </c>
      <c r="B410" s="20" t="s">
        <v>659</v>
      </c>
      <c r="C410" s="20" t="s">
        <v>668</v>
      </c>
      <c r="D410" s="20" t="s">
        <v>294</v>
      </c>
      <c r="E410" s="21">
        <f>11245.363+741.275+1286.815-55.45</f>
        <v>13218.002999999999</v>
      </c>
    </row>
    <row r="411" spans="1:5" ht="15.75" x14ac:dyDescent="0.25">
      <c r="A411" s="19" t="s">
        <v>297</v>
      </c>
      <c r="B411" s="20" t="s">
        <v>659</v>
      </c>
      <c r="C411" s="20" t="s">
        <v>668</v>
      </c>
      <c r="D411" s="20" t="s">
        <v>298</v>
      </c>
      <c r="E411" s="21">
        <f>551.342-4.7-3</f>
        <v>543.64199999999994</v>
      </c>
    </row>
    <row r="412" spans="1:5" ht="15.75" x14ac:dyDescent="0.25">
      <c r="A412" s="19" t="s">
        <v>315</v>
      </c>
      <c r="B412" s="20" t="s">
        <v>659</v>
      </c>
      <c r="C412" s="20" t="s">
        <v>668</v>
      </c>
      <c r="D412" s="20" t="s">
        <v>316</v>
      </c>
      <c r="E412" s="21">
        <f>-1+2.23</f>
        <v>1.23</v>
      </c>
    </row>
    <row r="413" spans="1:5" ht="31.5" x14ac:dyDescent="0.25">
      <c r="A413" s="16" t="s">
        <v>295</v>
      </c>
      <c r="B413" s="17" t="s">
        <v>659</v>
      </c>
      <c r="C413" s="17" t="s">
        <v>669</v>
      </c>
      <c r="D413" s="17"/>
      <c r="E413" s="18">
        <v>19.013000000000002</v>
      </c>
    </row>
    <row r="414" spans="1:5" ht="15.75" x14ac:dyDescent="0.25">
      <c r="A414" s="19" t="s">
        <v>297</v>
      </c>
      <c r="B414" s="20" t="s">
        <v>659</v>
      </c>
      <c r="C414" s="20" t="s">
        <v>669</v>
      </c>
      <c r="D414" s="20" t="s">
        <v>298</v>
      </c>
      <c r="E414" s="21">
        <v>19.013000000000002</v>
      </c>
    </row>
    <row r="415" spans="1:5" ht="31.5" x14ac:dyDescent="0.25">
      <c r="A415" s="16" t="s">
        <v>670</v>
      </c>
      <c r="B415" s="17" t="s">
        <v>659</v>
      </c>
      <c r="C415" s="17" t="s">
        <v>671</v>
      </c>
      <c r="D415" s="17"/>
      <c r="E415" s="18">
        <v>7677</v>
      </c>
    </row>
    <row r="416" spans="1:5" ht="15.75" x14ac:dyDescent="0.25">
      <c r="A416" s="19" t="s">
        <v>321</v>
      </c>
      <c r="B416" s="20" t="s">
        <v>659</v>
      </c>
      <c r="C416" s="20" t="s">
        <v>671</v>
      </c>
      <c r="D416" s="20" t="s">
        <v>322</v>
      </c>
      <c r="E416" s="21">
        <v>7677</v>
      </c>
    </row>
    <row r="417" spans="1:5" ht="15.75" x14ac:dyDescent="0.25">
      <c r="A417" s="16" t="s">
        <v>287</v>
      </c>
      <c r="B417" s="17" t="s">
        <v>659</v>
      </c>
      <c r="C417" s="17" t="s">
        <v>288</v>
      </c>
      <c r="D417" s="17"/>
      <c r="E417" s="18">
        <f>E418</f>
        <v>1616.5</v>
      </c>
    </row>
    <row r="418" spans="1:5" ht="15.75" x14ac:dyDescent="0.25">
      <c r="A418" s="16" t="s">
        <v>289</v>
      </c>
      <c r="B418" s="17" t="s">
        <v>659</v>
      </c>
      <c r="C418" s="17" t="s">
        <v>290</v>
      </c>
      <c r="D418" s="17"/>
      <c r="E418" s="18">
        <f>E419+E421+E423+E425+E427+E429+E431</f>
        <v>1616.5</v>
      </c>
    </row>
    <row r="419" spans="1:5" ht="31.5" x14ac:dyDescent="0.25">
      <c r="A419" s="16" t="s">
        <v>672</v>
      </c>
      <c r="B419" s="17" t="s">
        <v>659</v>
      </c>
      <c r="C419" s="17" t="s">
        <v>673</v>
      </c>
      <c r="D419" s="17"/>
      <c r="E419" s="18">
        <v>1281.9000000000001</v>
      </c>
    </row>
    <row r="420" spans="1:5" ht="15.75" x14ac:dyDescent="0.25">
      <c r="A420" s="19" t="s">
        <v>321</v>
      </c>
      <c r="B420" s="20" t="s">
        <v>659</v>
      </c>
      <c r="C420" s="20" t="s">
        <v>673</v>
      </c>
      <c r="D420" s="20" t="s">
        <v>322</v>
      </c>
      <c r="E420" s="21">
        <v>1281.9000000000001</v>
      </c>
    </row>
    <row r="421" spans="1:5" ht="31.5" x14ac:dyDescent="0.25">
      <c r="A421" s="16" t="s">
        <v>674</v>
      </c>
      <c r="B421" s="17" t="s">
        <v>659</v>
      </c>
      <c r="C421" s="17" t="s">
        <v>675</v>
      </c>
      <c r="D421" s="17"/>
      <c r="E421" s="18">
        <v>49.5</v>
      </c>
    </row>
    <row r="422" spans="1:5" ht="15.75" x14ac:dyDescent="0.25">
      <c r="A422" s="19" t="s">
        <v>321</v>
      </c>
      <c r="B422" s="20" t="s">
        <v>659</v>
      </c>
      <c r="C422" s="20" t="s">
        <v>675</v>
      </c>
      <c r="D422" s="20" t="s">
        <v>322</v>
      </c>
      <c r="E422" s="21">
        <v>49.5</v>
      </c>
    </row>
    <row r="423" spans="1:5" ht="63" x14ac:dyDescent="0.25">
      <c r="A423" s="31" t="s">
        <v>676</v>
      </c>
      <c r="B423" s="17" t="s">
        <v>659</v>
      </c>
      <c r="C423" s="17" t="s">
        <v>677</v>
      </c>
      <c r="D423" s="17"/>
      <c r="E423" s="18">
        <v>2.5</v>
      </c>
    </row>
    <row r="424" spans="1:5" ht="15.75" x14ac:dyDescent="0.25">
      <c r="A424" s="19" t="s">
        <v>297</v>
      </c>
      <c r="B424" s="20" t="s">
        <v>659</v>
      </c>
      <c r="C424" s="20" t="s">
        <v>677</v>
      </c>
      <c r="D424" s="20" t="s">
        <v>298</v>
      </c>
      <c r="E424" s="21">
        <v>2.5</v>
      </c>
    </row>
    <row r="425" spans="1:5" ht="126" x14ac:dyDescent="0.25">
      <c r="A425" s="31" t="s">
        <v>678</v>
      </c>
      <c r="B425" s="17" t="s">
        <v>659</v>
      </c>
      <c r="C425" s="17" t="s">
        <v>679</v>
      </c>
      <c r="D425" s="17"/>
      <c r="E425" s="18">
        <v>4</v>
      </c>
    </row>
    <row r="426" spans="1:5" ht="15.75" x14ac:dyDescent="0.25">
      <c r="A426" s="19" t="s">
        <v>297</v>
      </c>
      <c r="B426" s="20" t="s">
        <v>659</v>
      </c>
      <c r="C426" s="20" t="s">
        <v>679</v>
      </c>
      <c r="D426" s="20" t="s">
        <v>298</v>
      </c>
      <c r="E426" s="21">
        <v>4</v>
      </c>
    </row>
    <row r="427" spans="1:5" ht="78.75" x14ac:dyDescent="0.25">
      <c r="A427" s="31" t="s">
        <v>462</v>
      </c>
      <c r="B427" s="17" t="s">
        <v>659</v>
      </c>
      <c r="C427" s="17" t="s">
        <v>463</v>
      </c>
      <c r="D427" s="17"/>
      <c r="E427" s="18">
        <f>E428</f>
        <v>166.6</v>
      </c>
    </row>
    <row r="428" spans="1:5" ht="15.75" x14ac:dyDescent="0.25">
      <c r="A428" s="19" t="s">
        <v>321</v>
      </c>
      <c r="B428" s="20" t="s">
        <v>659</v>
      </c>
      <c r="C428" s="20" t="s">
        <v>463</v>
      </c>
      <c r="D428" s="20" t="s">
        <v>322</v>
      </c>
      <c r="E428" s="21">
        <f>159.548+7.052</f>
        <v>166.6</v>
      </c>
    </row>
    <row r="429" spans="1:5" ht="78.75" x14ac:dyDescent="0.25">
      <c r="A429" s="31" t="s">
        <v>680</v>
      </c>
      <c r="B429" s="17" t="s">
        <v>659</v>
      </c>
      <c r="C429" s="17" t="s">
        <v>681</v>
      </c>
      <c r="D429" s="17"/>
      <c r="E429" s="18">
        <v>9</v>
      </c>
    </row>
    <row r="430" spans="1:5" ht="15.75" x14ac:dyDescent="0.25">
      <c r="A430" s="19" t="s">
        <v>297</v>
      </c>
      <c r="B430" s="20" t="s">
        <v>659</v>
      </c>
      <c r="C430" s="20" t="s">
        <v>681</v>
      </c>
      <c r="D430" s="20" t="s">
        <v>298</v>
      </c>
      <c r="E430" s="21">
        <v>9</v>
      </c>
    </row>
    <row r="431" spans="1:5" ht="15.75" x14ac:dyDescent="0.25">
      <c r="A431" s="16" t="s">
        <v>303</v>
      </c>
      <c r="B431" s="17" t="s">
        <v>659</v>
      </c>
      <c r="C431" s="17" t="s">
        <v>304</v>
      </c>
      <c r="D431" s="17"/>
      <c r="E431" s="18">
        <f>E432</f>
        <v>103</v>
      </c>
    </row>
    <row r="432" spans="1:5" ht="15.75" x14ac:dyDescent="0.25">
      <c r="A432" s="19" t="s">
        <v>315</v>
      </c>
      <c r="B432" s="20" t="s">
        <v>659</v>
      </c>
      <c r="C432" s="20" t="s">
        <v>304</v>
      </c>
      <c r="D432" s="20" t="s">
        <v>316</v>
      </c>
      <c r="E432" s="21">
        <f>231.2-128.2</f>
        <v>103</v>
      </c>
    </row>
  </sheetData>
  <mergeCells count="14">
    <mergeCell ref="A8:E8"/>
    <mergeCell ref="A9:E9"/>
    <mergeCell ref="A11:E11"/>
    <mergeCell ref="A14:A15"/>
    <mergeCell ref="B14:B15"/>
    <mergeCell ref="C14:C15"/>
    <mergeCell ref="D14:D15"/>
    <mergeCell ref="E14:E15"/>
    <mergeCell ref="A7:E7"/>
    <mergeCell ref="A1:E1"/>
    <mergeCell ref="A2:E2"/>
    <mergeCell ref="A3:E3"/>
    <mergeCell ref="A4:E4"/>
    <mergeCell ref="A6:E6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93"/>
  <sheetViews>
    <sheetView view="pageBreakPreview" zoomScaleNormal="100" zoomScaleSheetLayoutView="100" workbookViewId="0">
      <selection activeCell="D366" sqref="D366"/>
    </sheetView>
  </sheetViews>
  <sheetFormatPr defaultRowHeight="15" x14ac:dyDescent="0.25"/>
  <cols>
    <col min="1" max="1" width="108.140625" customWidth="1"/>
    <col min="2" max="2" width="27" customWidth="1"/>
    <col min="3" max="3" width="12.85546875" customWidth="1"/>
    <col min="4" max="4" width="26.85546875" customWidth="1"/>
  </cols>
  <sheetData>
    <row r="1" spans="1:4" ht="18.75" x14ac:dyDescent="0.3">
      <c r="A1" s="143" t="s">
        <v>277</v>
      </c>
      <c r="B1" s="143"/>
      <c r="C1" s="143"/>
      <c r="D1" s="143"/>
    </row>
    <row r="2" spans="1:4" ht="18.75" x14ac:dyDescent="0.3">
      <c r="A2" s="143" t="s">
        <v>1</v>
      </c>
      <c r="B2" s="143"/>
      <c r="C2" s="143"/>
      <c r="D2" s="143"/>
    </row>
    <row r="3" spans="1:4" ht="18.75" x14ac:dyDescent="0.3">
      <c r="A3" s="143" t="s">
        <v>2</v>
      </c>
      <c r="B3" s="143"/>
      <c r="C3" s="143"/>
      <c r="D3" s="143"/>
    </row>
    <row r="4" spans="1:4" ht="18.75" x14ac:dyDescent="0.3">
      <c r="A4" s="143" t="str">
        <f>'Прил. 1 (Доходы)'!A4:C4</f>
        <v>от 18 декабря 2019 г. № 51</v>
      </c>
      <c r="B4" s="143"/>
      <c r="C4" s="143"/>
      <c r="D4" s="143"/>
    </row>
    <row r="5" spans="1:4" ht="18.75" x14ac:dyDescent="0.3">
      <c r="A5" s="32"/>
      <c r="B5" s="1"/>
      <c r="C5" s="1"/>
      <c r="D5" s="3"/>
    </row>
    <row r="6" spans="1:4" ht="18.75" x14ac:dyDescent="0.3">
      <c r="A6" s="143" t="s">
        <v>682</v>
      </c>
      <c r="B6" s="143"/>
      <c r="C6" s="143"/>
      <c r="D6" s="143"/>
    </row>
    <row r="7" spans="1:4" ht="18.75" x14ac:dyDescent="0.3">
      <c r="A7" s="143" t="s">
        <v>1</v>
      </c>
      <c r="B7" s="143"/>
      <c r="C7" s="143"/>
      <c r="D7" s="143"/>
    </row>
    <row r="8" spans="1:4" ht="18.75" x14ac:dyDescent="0.3">
      <c r="A8" s="143" t="s">
        <v>2</v>
      </c>
      <c r="B8" s="143"/>
      <c r="C8" s="143"/>
      <c r="D8" s="143"/>
    </row>
    <row r="9" spans="1:4" ht="18.75" x14ac:dyDescent="0.3">
      <c r="A9" s="143" t="s">
        <v>3</v>
      </c>
      <c r="B9" s="143"/>
      <c r="C9" s="143"/>
      <c r="D9" s="143"/>
    </row>
    <row r="10" spans="1:4" ht="18.75" x14ac:dyDescent="0.3">
      <c r="A10" s="4"/>
      <c r="B10" s="4"/>
      <c r="C10" s="4"/>
      <c r="D10" s="4"/>
    </row>
    <row r="11" spans="1:4" ht="39" customHeight="1" x14ac:dyDescent="0.3">
      <c r="A11" s="150" t="s">
        <v>683</v>
      </c>
      <c r="B11" s="150"/>
      <c r="C11" s="150"/>
      <c r="D11" s="150"/>
    </row>
    <row r="12" spans="1:4" ht="18.75" x14ac:dyDescent="0.3">
      <c r="A12" s="4"/>
      <c r="B12" s="4"/>
      <c r="C12" s="4"/>
      <c r="D12" s="1" t="s">
        <v>5</v>
      </c>
    </row>
    <row r="13" spans="1:4" ht="37.5" x14ac:dyDescent="0.25">
      <c r="A13" s="33" t="s">
        <v>684</v>
      </c>
      <c r="B13" s="33" t="s">
        <v>685</v>
      </c>
      <c r="C13" s="33" t="s">
        <v>686</v>
      </c>
      <c r="D13" s="33" t="s">
        <v>687</v>
      </c>
    </row>
    <row r="14" spans="1:4" x14ac:dyDescent="0.25">
      <c r="A14" s="34" t="s">
        <v>10</v>
      </c>
      <c r="B14" s="34" t="s">
        <v>688</v>
      </c>
      <c r="C14" s="34" t="s">
        <v>9</v>
      </c>
      <c r="D14" s="34" t="s">
        <v>689</v>
      </c>
    </row>
    <row r="15" spans="1:4" ht="15.75" x14ac:dyDescent="0.25">
      <c r="A15" s="151" t="s">
        <v>690</v>
      </c>
      <c r="B15" s="151"/>
      <c r="C15" s="151"/>
      <c r="D15" s="35">
        <f>D16+D43+D73+D117+D189+D254+D268+D306+D336+D346</f>
        <v>782520.07712000003</v>
      </c>
    </row>
    <row r="16" spans="1:4" ht="15.75" x14ac:dyDescent="0.25">
      <c r="A16" s="36" t="s">
        <v>307</v>
      </c>
      <c r="B16" s="37" t="s">
        <v>308</v>
      </c>
      <c r="C16" s="37"/>
      <c r="D16" s="38">
        <f>D17+D29+D32+D36+D39</f>
        <v>3223.9083300000002</v>
      </c>
    </row>
    <row r="17" spans="1:4" ht="15.75" x14ac:dyDescent="0.25">
      <c r="A17" s="39" t="s">
        <v>309</v>
      </c>
      <c r="B17" s="40" t="s">
        <v>310</v>
      </c>
      <c r="C17" s="40"/>
      <c r="D17" s="41">
        <f>2883.89633-20.60557-120.493-134.5-300</f>
        <v>2308.2977599999999</v>
      </c>
    </row>
    <row r="18" spans="1:4" ht="31.5" x14ac:dyDescent="0.25">
      <c r="A18" s="42" t="s">
        <v>311</v>
      </c>
      <c r="B18" s="43" t="s">
        <v>312</v>
      </c>
      <c r="C18" s="43"/>
      <c r="D18" s="44">
        <f>D19</f>
        <v>0</v>
      </c>
    </row>
    <row r="19" spans="1:4" ht="47.25" x14ac:dyDescent="0.25">
      <c r="A19" s="45" t="s">
        <v>313</v>
      </c>
      <c r="B19" s="43" t="s">
        <v>314</v>
      </c>
      <c r="C19" s="43"/>
      <c r="D19" s="44">
        <f>D20</f>
        <v>0</v>
      </c>
    </row>
    <row r="20" spans="1:4" ht="15.75" x14ac:dyDescent="0.25">
      <c r="A20" s="46" t="s">
        <v>315</v>
      </c>
      <c r="B20" s="47" t="s">
        <v>314</v>
      </c>
      <c r="C20" s="47" t="s">
        <v>316</v>
      </c>
      <c r="D20" s="48">
        <f>134.5-134.5</f>
        <v>0</v>
      </c>
    </row>
    <row r="21" spans="1:4" ht="31.5" x14ac:dyDescent="0.25">
      <c r="A21" s="42" t="s">
        <v>317</v>
      </c>
      <c r="B21" s="43" t="s">
        <v>318</v>
      </c>
      <c r="C21" s="43"/>
      <c r="D21" s="44">
        <f>D22</f>
        <v>0</v>
      </c>
    </row>
    <row r="22" spans="1:4" ht="15.75" x14ac:dyDescent="0.25">
      <c r="A22" s="49" t="s">
        <v>315</v>
      </c>
      <c r="B22" s="47" t="s">
        <v>318</v>
      </c>
      <c r="C22" s="47" t="s">
        <v>316</v>
      </c>
      <c r="D22" s="48">
        <f>300-300</f>
        <v>0</v>
      </c>
    </row>
    <row r="23" spans="1:4" ht="47.25" x14ac:dyDescent="0.25">
      <c r="A23" s="50" t="s">
        <v>319</v>
      </c>
      <c r="B23" s="51" t="s">
        <v>320</v>
      </c>
      <c r="C23" s="47"/>
      <c r="D23" s="48">
        <f>D24</f>
        <v>0</v>
      </c>
    </row>
    <row r="24" spans="1:4" ht="15.75" x14ac:dyDescent="0.25">
      <c r="A24" s="49" t="s">
        <v>321</v>
      </c>
      <c r="B24" s="51" t="s">
        <v>320</v>
      </c>
      <c r="C24" s="47" t="s">
        <v>322</v>
      </c>
      <c r="D24" s="48">
        <f>120.493-120.493</f>
        <v>0</v>
      </c>
    </row>
    <row r="25" spans="1:4" ht="31.5" x14ac:dyDescent="0.25">
      <c r="A25" s="42" t="s">
        <v>323</v>
      </c>
      <c r="B25" s="43" t="s">
        <v>324</v>
      </c>
      <c r="C25" s="43"/>
      <c r="D25" s="44">
        <f>D26</f>
        <v>2028.7907600000001</v>
      </c>
    </row>
    <row r="26" spans="1:4" ht="15.75" x14ac:dyDescent="0.25">
      <c r="A26" s="49" t="s">
        <v>315</v>
      </c>
      <c r="B26" s="47" t="s">
        <v>324</v>
      </c>
      <c r="C26" s="47" t="s">
        <v>316</v>
      </c>
      <c r="D26" s="48">
        <f>-20.60557+2049.39633</f>
        <v>2028.7907600000001</v>
      </c>
    </row>
    <row r="27" spans="1:4" ht="47.25" x14ac:dyDescent="0.25">
      <c r="A27" s="42" t="s">
        <v>325</v>
      </c>
      <c r="B27" s="43" t="s">
        <v>326</v>
      </c>
      <c r="C27" s="43"/>
      <c r="D27" s="44">
        <v>279.50700000000001</v>
      </c>
    </row>
    <row r="28" spans="1:4" ht="15.75" x14ac:dyDescent="0.25">
      <c r="A28" s="49" t="s">
        <v>321</v>
      </c>
      <c r="B28" s="47" t="s">
        <v>326</v>
      </c>
      <c r="C28" s="47" t="s">
        <v>322</v>
      </c>
      <c r="D28" s="48">
        <v>279.50700000000001</v>
      </c>
    </row>
    <row r="29" spans="1:4" ht="15.75" x14ac:dyDescent="0.25">
      <c r="A29" s="22" t="s">
        <v>468</v>
      </c>
      <c r="B29" s="23" t="s">
        <v>469</v>
      </c>
      <c r="C29" s="30"/>
      <c r="D29" s="18">
        <f>D30</f>
        <v>20.60557</v>
      </c>
    </row>
    <row r="30" spans="1:4" ht="31.5" x14ac:dyDescent="0.25">
      <c r="A30" s="16" t="s">
        <v>470</v>
      </c>
      <c r="B30" s="23" t="s">
        <v>471</v>
      </c>
      <c r="C30" s="30"/>
      <c r="D30" s="18">
        <f>D31</f>
        <v>20.60557</v>
      </c>
    </row>
    <row r="31" spans="1:4" ht="15.75" x14ac:dyDescent="0.25">
      <c r="A31" s="22" t="s">
        <v>297</v>
      </c>
      <c r="B31" s="23" t="s">
        <v>471</v>
      </c>
      <c r="C31" s="17" t="s">
        <v>298</v>
      </c>
      <c r="D31" s="18">
        <v>20.60557</v>
      </c>
    </row>
    <row r="32" spans="1:4" ht="31.5" x14ac:dyDescent="0.25">
      <c r="A32" s="42" t="s">
        <v>327</v>
      </c>
      <c r="B32" s="43" t="s">
        <v>328</v>
      </c>
      <c r="C32" s="43"/>
      <c r="D32" s="44">
        <v>571.42899999999997</v>
      </c>
    </row>
    <row r="33" spans="1:4" ht="15.75" x14ac:dyDescent="0.25">
      <c r="A33" s="42" t="s">
        <v>329</v>
      </c>
      <c r="B33" s="43" t="s">
        <v>330</v>
      </c>
      <c r="C33" s="43"/>
      <c r="D33" s="44">
        <v>571.42899999999997</v>
      </c>
    </row>
    <row r="34" spans="1:4" ht="31.5" x14ac:dyDescent="0.25">
      <c r="A34" s="42" t="s">
        <v>331</v>
      </c>
      <c r="B34" s="43" t="s">
        <v>332</v>
      </c>
      <c r="C34" s="43"/>
      <c r="D34" s="44">
        <v>571.42899999999997</v>
      </c>
    </row>
    <row r="35" spans="1:4" ht="15.75" x14ac:dyDescent="0.25">
      <c r="A35" s="49" t="s">
        <v>315</v>
      </c>
      <c r="B35" s="47" t="s">
        <v>332</v>
      </c>
      <c r="C35" s="47" t="s">
        <v>316</v>
      </c>
      <c r="D35" s="48">
        <v>571.42899999999997</v>
      </c>
    </row>
    <row r="36" spans="1:4" ht="15.75" x14ac:dyDescent="0.25">
      <c r="A36" s="42" t="s">
        <v>333</v>
      </c>
      <c r="B36" s="43" t="s">
        <v>334</v>
      </c>
      <c r="C36" s="43"/>
      <c r="D36" s="44">
        <v>150</v>
      </c>
    </row>
    <row r="37" spans="1:4" ht="31.5" x14ac:dyDescent="0.25">
      <c r="A37" s="42" t="s">
        <v>335</v>
      </c>
      <c r="B37" s="43" t="s">
        <v>336</v>
      </c>
      <c r="C37" s="43"/>
      <c r="D37" s="44">
        <v>150</v>
      </c>
    </row>
    <row r="38" spans="1:4" ht="15.75" x14ac:dyDescent="0.25">
      <c r="A38" s="49" t="s">
        <v>315</v>
      </c>
      <c r="B38" s="47" t="s">
        <v>336</v>
      </c>
      <c r="C38" s="47" t="s">
        <v>316</v>
      </c>
      <c r="D38" s="48">
        <v>150</v>
      </c>
    </row>
    <row r="39" spans="1:4" ht="15.75" x14ac:dyDescent="0.25">
      <c r="A39" s="42" t="s">
        <v>337</v>
      </c>
      <c r="B39" s="43" t="s">
        <v>338</v>
      </c>
      <c r="C39" s="43"/>
      <c r="D39" s="44">
        <v>173.57599999999999</v>
      </c>
    </row>
    <row r="40" spans="1:4" ht="15.75" x14ac:dyDescent="0.25">
      <c r="A40" s="42" t="s">
        <v>691</v>
      </c>
      <c r="B40" s="43" t="s">
        <v>692</v>
      </c>
      <c r="C40" s="43"/>
      <c r="D40" s="44">
        <v>173.57599999999999</v>
      </c>
    </row>
    <row r="41" spans="1:4" ht="31.5" x14ac:dyDescent="0.25">
      <c r="A41" s="42" t="s">
        <v>339</v>
      </c>
      <c r="B41" s="43" t="s">
        <v>340</v>
      </c>
      <c r="C41" s="43"/>
      <c r="D41" s="44">
        <v>173.57599999999999</v>
      </c>
    </row>
    <row r="42" spans="1:4" ht="15.75" x14ac:dyDescent="0.25">
      <c r="A42" s="46" t="s">
        <v>321</v>
      </c>
      <c r="B42" s="47" t="s">
        <v>340</v>
      </c>
      <c r="C42" s="47" t="s">
        <v>322</v>
      </c>
      <c r="D42" s="48">
        <v>173.57599999999999</v>
      </c>
    </row>
    <row r="43" spans="1:4" ht="31.5" x14ac:dyDescent="0.25">
      <c r="A43" s="36" t="s">
        <v>341</v>
      </c>
      <c r="B43" s="37" t="s">
        <v>342</v>
      </c>
      <c r="C43" s="37"/>
      <c r="D43" s="38">
        <f>D44+D70</f>
        <v>27599.585999999999</v>
      </c>
    </row>
    <row r="44" spans="1:4" ht="31.5" x14ac:dyDescent="0.25">
      <c r="A44" s="42" t="s">
        <v>343</v>
      </c>
      <c r="B44" s="43" t="s">
        <v>344</v>
      </c>
      <c r="C44" s="43"/>
      <c r="D44" s="44">
        <f>D45+D47+D49+D54+D56+D59+D62+D64+D66+D68</f>
        <v>27301.085999999999</v>
      </c>
    </row>
    <row r="45" spans="1:4" ht="15.75" x14ac:dyDescent="0.25">
      <c r="A45" s="42" t="s">
        <v>345</v>
      </c>
      <c r="B45" s="43" t="s">
        <v>346</v>
      </c>
      <c r="C45" s="43"/>
      <c r="D45" s="44">
        <f>D46</f>
        <v>5996.3379999999997</v>
      </c>
    </row>
    <row r="46" spans="1:4" ht="15.75" x14ac:dyDescent="0.25">
      <c r="A46" s="49" t="s">
        <v>297</v>
      </c>
      <c r="B46" s="47" t="s">
        <v>346</v>
      </c>
      <c r="C46" s="47" t="s">
        <v>298</v>
      </c>
      <c r="D46" s="48">
        <f>-800+3716.187+151.979+3152.583-224.411</f>
        <v>5996.3379999999997</v>
      </c>
    </row>
    <row r="47" spans="1:4" ht="15.75" x14ac:dyDescent="0.25">
      <c r="A47" s="42" t="s">
        <v>345</v>
      </c>
      <c r="B47" s="43" t="s">
        <v>348</v>
      </c>
      <c r="C47" s="43"/>
      <c r="D47" s="44">
        <f>D48</f>
        <v>1993.7459999999999</v>
      </c>
    </row>
    <row r="48" spans="1:4" ht="15.75" x14ac:dyDescent="0.25">
      <c r="A48" s="46" t="s">
        <v>321</v>
      </c>
      <c r="B48" s="47" t="s">
        <v>348</v>
      </c>
      <c r="C48" s="47" t="s">
        <v>322</v>
      </c>
      <c r="D48" s="48">
        <f>2114.6-120.854</f>
        <v>1993.7459999999999</v>
      </c>
    </row>
    <row r="49" spans="1:4" ht="15.75" x14ac:dyDescent="0.25">
      <c r="A49" s="42" t="s">
        <v>693</v>
      </c>
      <c r="B49" s="43" t="s">
        <v>694</v>
      </c>
      <c r="C49" s="43"/>
      <c r="D49" s="44">
        <v>9034.1229999999996</v>
      </c>
    </row>
    <row r="50" spans="1:4" ht="15.75" x14ac:dyDescent="0.25">
      <c r="A50" s="42" t="s">
        <v>345</v>
      </c>
      <c r="B50" s="43" t="s">
        <v>349</v>
      </c>
      <c r="C50" s="43"/>
      <c r="D50" s="44">
        <v>9003.1350000000002</v>
      </c>
    </row>
    <row r="51" spans="1:4" ht="15.75" x14ac:dyDescent="0.25">
      <c r="A51" s="49" t="s">
        <v>297</v>
      </c>
      <c r="B51" s="47" t="s">
        <v>349</v>
      </c>
      <c r="C51" s="47" t="s">
        <v>298</v>
      </c>
      <c r="D51" s="48">
        <v>9003.1350000000002</v>
      </c>
    </row>
    <row r="52" spans="1:4" ht="15.75" x14ac:dyDescent="0.25">
      <c r="A52" s="42" t="s">
        <v>345</v>
      </c>
      <c r="B52" s="43" t="s">
        <v>349</v>
      </c>
      <c r="C52" s="43"/>
      <c r="D52" s="44">
        <v>30.988</v>
      </c>
    </row>
    <row r="53" spans="1:4" ht="15.75" x14ac:dyDescent="0.25">
      <c r="A53" s="46" t="s">
        <v>321</v>
      </c>
      <c r="B53" s="47" t="s">
        <v>349</v>
      </c>
      <c r="C53" s="47" t="s">
        <v>322</v>
      </c>
      <c r="D53" s="48">
        <v>30.988</v>
      </c>
    </row>
    <row r="54" spans="1:4" ht="15.75" x14ac:dyDescent="0.25">
      <c r="A54" s="42" t="s">
        <v>350</v>
      </c>
      <c r="B54" s="43" t="s">
        <v>351</v>
      </c>
      <c r="C54" s="43"/>
      <c r="D54" s="44">
        <f>D55</f>
        <v>5007.3159999999998</v>
      </c>
    </row>
    <row r="55" spans="1:4" ht="15.75" x14ac:dyDescent="0.25">
      <c r="A55" s="49" t="s">
        <v>297</v>
      </c>
      <c r="B55" s="47" t="s">
        <v>351</v>
      </c>
      <c r="C55" s="47" t="s">
        <v>298</v>
      </c>
      <c r="D55" s="48">
        <f>800+4359.295-151.979</f>
        <v>5007.3159999999998</v>
      </c>
    </row>
    <row r="56" spans="1:4" ht="15.75" x14ac:dyDescent="0.25">
      <c r="A56" s="42" t="s">
        <v>352</v>
      </c>
      <c r="B56" s="43" t="s">
        <v>695</v>
      </c>
      <c r="C56" s="43"/>
      <c r="D56" s="44">
        <v>448.42500000000001</v>
      </c>
    </row>
    <row r="57" spans="1:4" ht="15.75" x14ac:dyDescent="0.25">
      <c r="A57" s="42" t="s">
        <v>352</v>
      </c>
      <c r="B57" s="43" t="s">
        <v>353</v>
      </c>
      <c r="C57" s="43"/>
      <c r="D57" s="44">
        <v>448.42500000000001</v>
      </c>
    </row>
    <row r="58" spans="1:4" ht="15.75" x14ac:dyDescent="0.25">
      <c r="A58" s="49" t="s">
        <v>297</v>
      </c>
      <c r="B58" s="47" t="s">
        <v>353</v>
      </c>
      <c r="C58" s="47" t="s">
        <v>298</v>
      </c>
      <c r="D58" s="48">
        <v>448.42500000000001</v>
      </c>
    </row>
    <row r="59" spans="1:4" ht="31.5" x14ac:dyDescent="0.25">
      <c r="A59" s="42" t="s">
        <v>354</v>
      </c>
      <c r="B59" s="43" t="s">
        <v>696</v>
      </c>
      <c r="C59" s="43"/>
      <c r="D59" s="44">
        <v>3261.0610000000001</v>
      </c>
    </row>
    <row r="60" spans="1:4" ht="31.5" x14ac:dyDescent="0.25">
      <c r="A60" s="42" t="s">
        <v>354</v>
      </c>
      <c r="B60" s="43" t="s">
        <v>355</v>
      </c>
      <c r="C60" s="43"/>
      <c r="D60" s="44">
        <v>3261.0610000000001</v>
      </c>
    </row>
    <row r="61" spans="1:4" ht="15.75" x14ac:dyDescent="0.25">
      <c r="A61" s="46" t="s">
        <v>321</v>
      </c>
      <c r="B61" s="47" t="s">
        <v>355</v>
      </c>
      <c r="C61" s="47" t="s">
        <v>322</v>
      </c>
      <c r="D61" s="48">
        <v>3261.0610000000001</v>
      </c>
    </row>
    <row r="62" spans="1:4" ht="31.5" x14ac:dyDescent="0.25">
      <c r="A62" s="42" t="s">
        <v>356</v>
      </c>
      <c r="B62" s="43" t="s">
        <v>357</v>
      </c>
      <c r="C62" s="43"/>
      <c r="D62" s="44">
        <v>0.216</v>
      </c>
    </row>
    <row r="63" spans="1:4" ht="15.75" x14ac:dyDescent="0.25">
      <c r="A63" s="46" t="s">
        <v>321</v>
      </c>
      <c r="B63" s="47" t="s">
        <v>357</v>
      </c>
      <c r="C63" s="43" t="s">
        <v>322</v>
      </c>
      <c r="D63" s="48">
        <v>0.216</v>
      </c>
    </row>
    <row r="64" spans="1:4" ht="15.75" x14ac:dyDescent="0.25">
      <c r="A64" s="42" t="s">
        <v>358</v>
      </c>
      <c r="B64" s="43" t="s">
        <v>359</v>
      </c>
      <c r="C64" s="43"/>
      <c r="D64" s="44">
        <v>1099.8720000000001</v>
      </c>
    </row>
    <row r="65" spans="1:4" ht="15.75" x14ac:dyDescent="0.25">
      <c r="A65" s="49" t="s">
        <v>297</v>
      </c>
      <c r="B65" s="47" t="s">
        <v>359</v>
      </c>
      <c r="C65" s="43" t="s">
        <v>298</v>
      </c>
      <c r="D65" s="48">
        <v>1099.8720000000001</v>
      </c>
    </row>
    <row r="66" spans="1:4" ht="15.75" x14ac:dyDescent="0.25">
      <c r="A66" s="42" t="s">
        <v>360</v>
      </c>
      <c r="B66" s="43" t="s">
        <v>361</v>
      </c>
      <c r="C66" s="43"/>
      <c r="D66" s="44">
        <f>D67</f>
        <v>159.98900000000003</v>
      </c>
    </row>
    <row r="67" spans="1:4" ht="15.75" x14ac:dyDescent="0.25">
      <c r="A67" s="46" t="s">
        <v>321</v>
      </c>
      <c r="B67" s="47" t="s">
        <v>361</v>
      </c>
      <c r="C67" s="43" t="s">
        <v>322</v>
      </c>
      <c r="D67" s="48">
        <f>1100-940.011</f>
        <v>159.98900000000003</v>
      </c>
    </row>
    <row r="68" spans="1:4" ht="15.75" x14ac:dyDescent="0.25">
      <c r="A68" s="42" t="s">
        <v>362</v>
      </c>
      <c r="B68" s="43" t="s">
        <v>363</v>
      </c>
      <c r="C68" s="43"/>
      <c r="D68" s="44">
        <v>300</v>
      </c>
    </row>
    <row r="69" spans="1:4" ht="15.75" x14ac:dyDescent="0.25">
      <c r="A69" s="46" t="s">
        <v>321</v>
      </c>
      <c r="B69" s="47" t="s">
        <v>363</v>
      </c>
      <c r="C69" s="43" t="s">
        <v>322</v>
      </c>
      <c r="D69" s="48">
        <v>300</v>
      </c>
    </row>
    <row r="70" spans="1:4" ht="15.75" x14ac:dyDescent="0.25">
      <c r="A70" s="42" t="s">
        <v>364</v>
      </c>
      <c r="B70" s="43" t="s">
        <v>365</v>
      </c>
      <c r="C70" s="43"/>
      <c r="D70" s="44">
        <f>D71</f>
        <v>298.5</v>
      </c>
    </row>
    <row r="71" spans="1:4" ht="15.75" x14ac:dyDescent="0.25">
      <c r="A71" s="42" t="s">
        <v>366</v>
      </c>
      <c r="B71" s="43" t="s">
        <v>367</v>
      </c>
      <c r="C71" s="43"/>
      <c r="D71" s="44">
        <f>D72</f>
        <v>298.5</v>
      </c>
    </row>
    <row r="72" spans="1:4" ht="15.75" x14ac:dyDescent="0.25">
      <c r="A72" s="46" t="s">
        <v>321</v>
      </c>
      <c r="B72" s="47" t="s">
        <v>367</v>
      </c>
      <c r="C72" s="43" t="s">
        <v>322</v>
      </c>
      <c r="D72" s="48">
        <f>300-1.5</f>
        <v>298.5</v>
      </c>
    </row>
    <row r="73" spans="1:4" ht="31.5" x14ac:dyDescent="0.25">
      <c r="A73" s="36" t="s">
        <v>368</v>
      </c>
      <c r="B73" s="37" t="s">
        <v>369</v>
      </c>
      <c r="C73" s="37"/>
      <c r="D73" s="38">
        <f>D74+D99</f>
        <v>53901.810730000005</v>
      </c>
    </row>
    <row r="74" spans="1:4" ht="15.75" x14ac:dyDescent="0.25">
      <c r="A74" s="42" t="s">
        <v>370</v>
      </c>
      <c r="B74" s="43" t="s">
        <v>371</v>
      </c>
      <c r="C74" s="43"/>
      <c r="D74" s="44">
        <f>D75+D77+D79+D81+D83+D88+D91+D93+D95+D97</f>
        <v>50030.368000000002</v>
      </c>
    </row>
    <row r="75" spans="1:4" ht="47.25" x14ac:dyDescent="0.25">
      <c r="A75" s="42" t="s">
        <v>554</v>
      </c>
      <c r="B75" s="43" t="s">
        <v>555</v>
      </c>
      <c r="C75" s="43"/>
      <c r="D75" s="44">
        <f>D76</f>
        <v>814.16200000000003</v>
      </c>
    </row>
    <row r="76" spans="1:4" ht="15.75" x14ac:dyDescent="0.25">
      <c r="A76" s="49" t="s">
        <v>297</v>
      </c>
      <c r="B76" s="47" t="s">
        <v>555</v>
      </c>
      <c r="C76" s="43" t="s">
        <v>298</v>
      </c>
      <c r="D76" s="48">
        <f>1000-185.838</f>
        <v>814.16200000000003</v>
      </c>
    </row>
    <row r="77" spans="1:4" ht="15.75" x14ac:dyDescent="0.25">
      <c r="A77" s="49" t="s">
        <v>556</v>
      </c>
      <c r="B77" s="47" t="s">
        <v>557</v>
      </c>
      <c r="C77" s="47"/>
      <c r="D77" s="48">
        <f>D78</f>
        <v>70</v>
      </c>
    </row>
    <row r="78" spans="1:4" ht="15.75" x14ac:dyDescent="0.25">
      <c r="A78" s="16" t="s">
        <v>297</v>
      </c>
      <c r="B78" s="47" t="s">
        <v>557</v>
      </c>
      <c r="C78" s="47" t="s">
        <v>298</v>
      </c>
      <c r="D78" s="48">
        <f>100-30</f>
        <v>70</v>
      </c>
    </row>
    <row r="79" spans="1:4" ht="31.5" x14ac:dyDescent="0.25">
      <c r="A79" s="42" t="s">
        <v>372</v>
      </c>
      <c r="B79" s="43" t="s">
        <v>373</v>
      </c>
      <c r="C79" s="43"/>
      <c r="D79" s="44">
        <v>834.49800000000005</v>
      </c>
    </row>
    <row r="80" spans="1:4" ht="15.75" x14ac:dyDescent="0.25">
      <c r="A80" s="49" t="s">
        <v>374</v>
      </c>
      <c r="B80" s="47" t="s">
        <v>373</v>
      </c>
      <c r="C80" s="43" t="s">
        <v>375</v>
      </c>
      <c r="D80" s="48">
        <v>834.49800000000005</v>
      </c>
    </row>
    <row r="81" spans="1:4" ht="31.5" x14ac:dyDescent="0.25">
      <c r="A81" s="42" t="s">
        <v>376</v>
      </c>
      <c r="B81" s="43" t="s">
        <v>377</v>
      </c>
      <c r="C81" s="43"/>
      <c r="D81" s="44">
        <v>834.49800000000005</v>
      </c>
    </row>
    <row r="82" spans="1:4" ht="15.75" x14ac:dyDescent="0.25">
      <c r="A82" s="49" t="s">
        <v>374</v>
      </c>
      <c r="B82" s="47" t="s">
        <v>377</v>
      </c>
      <c r="C82" s="43" t="s">
        <v>375</v>
      </c>
      <c r="D82" s="48">
        <v>834.49800000000005</v>
      </c>
    </row>
    <row r="83" spans="1:4" ht="47.25" x14ac:dyDescent="0.25">
      <c r="A83" s="42" t="s">
        <v>558</v>
      </c>
      <c r="B83" s="43" t="s">
        <v>559</v>
      </c>
      <c r="C83" s="43"/>
      <c r="D83" s="44">
        <v>13099.6</v>
      </c>
    </row>
    <row r="84" spans="1:4" ht="63" x14ac:dyDescent="0.25">
      <c r="A84" s="45" t="s">
        <v>560</v>
      </c>
      <c r="B84" s="43" t="s">
        <v>561</v>
      </c>
      <c r="C84" s="43"/>
      <c r="D84" s="44">
        <v>2965.23</v>
      </c>
    </row>
    <row r="85" spans="1:4" ht="15.75" x14ac:dyDescent="0.25">
      <c r="A85" s="46" t="s">
        <v>562</v>
      </c>
      <c r="B85" s="47" t="s">
        <v>561</v>
      </c>
      <c r="C85" s="43" t="s">
        <v>563</v>
      </c>
      <c r="D85" s="48">
        <v>2965.23</v>
      </c>
    </row>
    <row r="86" spans="1:4" ht="63" x14ac:dyDescent="0.25">
      <c r="A86" s="45" t="s">
        <v>560</v>
      </c>
      <c r="B86" s="43" t="s">
        <v>564</v>
      </c>
      <c r="C86" s="43"/>
      <c r="D86" s="44">
        <v>10134.370000000001</v>
      </c>
    </row>
    <row r="87" spans="1:4" ht="15.75" x14ac:dyDescent="0.25">
      <c r="A87" s="46" t="s">
        <v>562</v>
      </c>
      <c r="B87" s="47" t="s">
        <v>564</v>
      </c>
      <c r="C87" s="43" t="s">
        <v>563</v>
      </c>
      <c r="D87" s="48">
        <v>10134.370000000001</v>
      </c>
    </row>
    <row r="88" spans="1:4" ht="15.75" x14ac:dyDescent="0.25">
      <c r="A88" s="42" t="s">
        <v>378</v>
      </c>
      <c r="B88" s="43" t="s">
        <v>379</v>
      </c>
      <c r="C88" s="43"/>
      <c r="D88" s="44">
        <f>D89</f>
        <v>2831.81</v>
      </c>
    </row>
    <row r="89" spans="1:4" ht="15.75" x14ac:dyDescent="0.25">
      <c r="A89" s="42" t="s">
        <v>378</v>
      </c>
      <c r="B89" s="43" t="s">
        <v>380</v>
      </c>
      <c r="C89" s="43"/>
      <c r="D89" s="44">
        <f>D90</f>
        <v>2831.81</v>
      </c>
    </row>
    <row r="90" spans="1:4" ht="15.75" x14ac:dyDescent="0.25">
      <c r="A90" s="46" t="s">
        <v>321</v>
      </c>
      <c r="B90" s="47" t="s">
        <v>380</v>
      </c>
      <c r="C90" s="43" t="s">
        <v>322</v>
      </c>
      <c r="D90" s="48">
        <f>2720.607+404.417-293.214</f>
        <v>2831.81</v>
      </c>
    </row>
    <row r="91" spans="1:4" ht="15.75" x14ac:dyDescent="0.25">
      <c r="A91" s="42" t="s">
        <v>565</v>
      </c>
      <c r="B91" s="43" t="s">
        <v>566</v>
      </c>
      <c r="C91" s="43"/>
      <c r="D91" s="44">
        <f>D92</f>
        <v>800</v>
      </c>
    </row>
    <row r="92" spans="1:4" ht="15.75" x14ac:dyDescent="0.25">
      <c r="A92" s="46" t="s">
        <v>562</v>
      </c>
      <c r="B92" s="47" t="s">
        <v>566</v>
      </c>
      <c r="C92" s="43" t="s">
        <v>563</v>
      </c>
      <c r="D92" s="48">
        <f>5000+3600-3600-4200</f>
        <v>800</v>
      </c>
    </row>
    <row r="93" spans="1:4" ht="15.75" x14ac:dyDescent="0.25">
      <c r="A93" s="42" t="s">
        <v>567</v>
      </c>
      <c r="B93" s="43" t="s">
        <v>697</v>
      </c>
      <c r="C93" s="43"/>
      <c r="D93" s="44">
        <v>29208.51</v>
      </c>
    </row>
    <row r="94" spans="1:4" ht="15.75" x14ac:dyDescent="0.25">
      <c r="A94" s="46" t="s">
        <v>562</v>
      </c>
      <c r="B94" s="47" t="s">
        <v>697</v>
      </c>
      <c r="C94" s="43" t="s">
        <v>563</v>
      </c>
      <c r="D94" s="48">
        <v>29208.51</v>
      </c>
    </row>
    <row r="95" spans="1:4" ht="15.75" x14ac:dyDescent="0.25">
      <c r="A95" s="42" t="s">
        <v>567</v>
      </c>
      <c r="B95" s="43" t="s">
        <v>698</v>
      </c>
      <c r="C95" s="43"/>
      <c r="D95" s="44">
        <v>1229.8320000000001</v>
      </c>
    </row>
    <row r="96" spans="1:4" ht="15.75" x14ac:dyDescent="0.25">
      <c r="A96" s="46" t="s">
        <v>562</v>
      </c>
      <c r="B96" s="47" t="s">
        <v>698</v>
      </c>
      <c r="C96" s="43" t="s">
        <v>563</v>
      </c>
      <c r="D96" s="48">
        <v>1229.8320000000001</v>
      </c>
    </row>
    <row r="97" spans="1:4" ht="15.75" x14ac:dyDescent="0.25">
      <c r="A97" s="42" t="s">
        <v>567</v>
      </c>
      <c r="B97" s="43" t="s">
        <v>699</v>
      </c>
      <c r="C97" s="43"/>
      <c r="D97" s="44">
        <v>307.45800000000003</v>
      </c>
    </row>
    <row r="98" spans="1:4" ht="15.75" x14ac:dyDescent="0.25">
      <c r="A98" s="46" t="s">
        <v>562</v>
      </c>
      <c r="B98" s="47" t="s">
        <v>699</v>
      </c>
      <c r="C98" s="43" t="s">
        <v>563</v>
      </c>
      <c r="D98" s="48">
        <v>307.45800000000003</v>
      </c>
    </row>
    <row r="99" spans="1:4" ht="15.75" x14ac:dyDescent="0.25">
      <c r="A99" s="42" t="s">
        <v>381</v>
      </c>
      <c r="B99" s="43" t="s">
        <v>382</v>
      </c>
      <c r="C99" s="43"/>
      <c r="D99" s="44">
        <f>D100+D102+D105+D108+D113+D115</f>
        <v>3871.4427299999998</v>
      </c>
    </row>
    <row r="100" spans="1:4" ht="15.75" x14ac:dyDescent="0.25">
      <c r="A100" s="42" t="s">
        <v>571</v>
      </c>
      <c r="B100" s="43" t="s">
        <v>572</v>
      </c>
      <c r="C100" s="43"/>
      <c r="D100" s="44">
        <f>D101</f>
        <v>807.00200000000007</v>
      </c>
    </row>
    <row r="101" spans="1:4" ht="15.75" x14ac:dyDescent="0.25">
      <c r="A101" s="49" t="s">
        <v>297</v>
      </c>
      <c r="B101" s="47" t="s">
        <v>572</v>
      </c>
      <c r="C101" s="43" t="s">
        <v>298</v>
      </c>
      <c r="D101" s="48">
        <f>620.003+49.553+269.446-132</f>
        <v>807.00200000000007</v>
      </c>
    </row>
    <row r="102" spans="1:4" ht="15.75" x14ac:dyDescent="0.25">
      <c r="A102" s="42" t="s">
        <v>383</v>
      </c>
      <c r="B102" s="43" t="s">
        <v>384</v>
      </c>
      <c r="C102" s="43"/>
      <c r="D102" s="44">
        <f>D103</f>
        <v>77.141999999999996</v>
      </c>
    </row>
    <row r="103" spans="1:4" ht="15.75" x14ac:dyDescent="0.25">
      <c r="A103" s="42" t="s">
        <v>385</v>
      </c>
      <c r="B103" s="43" t="s">
        <v>386</v>
      </c>
      <c r="C103" s="43"/>
      <c r="D103" s="44">
        <f>D104</f>
        <v>77.141999999999996</v>
      </c>
    </row>
    <row r="104" spans="1:4" ht="15.75" x14ac:dyDescent="0.25">
      <c r="A104" s="46" t="s">
        <v>321</v>
      </c>
      <c r="B104" s="47" t="s">
        <v>386</v>
      </c>
      <c r="C104" s="43" t="s">
        <v>322</v>
      </c>
      <c r="D104" s="48">
        <f>77.142+11-11</f>
        <v>77.141999999999996</v>
      </c>
    </row>
    <row r="105" spans="1:4" ht="15.75" x14ac:dyDescent="0.25">
      <c r="A105" s="42" t="s">
        <v>700</v>
      </c>
      <c r="B105" s="43" t="s">
        <v>701</v>
      </c>
      <c r="C105" s="43"/>
      <c r="D105" s="44">
        <v>108.86799999999999</v>
      </c>
    </row>
    <row r="106" spans="1:4" ht="31.5" x14ac:dyDescent="0.25">
      <c r="A106" s="42" t="s">
        <v>387</v>
      </c>
      <c r="B106" s="43" t="s">
        <v>388</v>
      </c>
      <c r="C106" s="43"/>
      <c r="D106" s="44">
        <v>108.86799999999999</v>
      </c>
    </row>
    <row r="107" spans="1:4" ht="15.75" x14ac:dyDescent="0.25">
      <c r="A107" s="46" t="s">
        <v>321</v>
      </c>
      <c r="B107" s="47" t="s">
        <v>388</v>
      </c>
      <c r="C107" s="43" t="s">
        <v>322</v>
      </c>
      <c r="D107" s="48">
        <v>108.86799999999999</v>
      </c>
    </row>
    <row r="108" spans="1:4" ht="15.75" x14ac:dyDescent="0.25">
      <c r="A108" s="42" t="s">
        <v>389</v>
      </c>
      <c r="B108" s="43" t="s">
        <v>390</v>
      </c>
      <c r="C108" s="43"/>
      <c r="D108" s="44">
        <f>D109+D111</f>
        <v>466.82299999999992</v>
      </c>
    </row>
    <row r="109" spans="1:4" ht="15.75" x14ac:dyDescent="0.25">
      <c r="A109" s="42" t="s">
        <v>389</v>
      </c>
      <c r="B109" s="43" t="s">
        <v>390</v>
      </c>
      <c r="C109" s="43"/>
      <c r="D109" s="44">
        <f>D110</f>
        <v>441.82299999999992</v>
      </c>
    </row>
    <row r="110" spans="1:4" ht="15.75" x14ac:dyDescent="0.25">
      <c r="A110" s="49" t="s">
        <v>297</v>
      </c>
      <c r="B110" s="47" t="s">
        <v>390</v>
      </c>
      <c r="C110" s="43" t="s">
        <v>298</v>
      </c>
      <c r="D110" s="48">
        <f>1304.858+500-1000-363.035</f>
        <v>441.82299999999992</v>
      </c>
    </row>
    <row r="111" spans="1:4" ht="15.75" x14ac:dyDescent="0.25">
      <c r="A111" s="42" t="s">
        <v>389</v>
      </c>
      <c r="B111" s="43" t="s">
        <v>391</v>
      </c>
      <c r="C111" s="43"/>
      <c r="D111" s="44">
        <f>D112</f>
        <v>25</v>
      </c>
    </row>
    <row r="112" spans="1:4" ht="15.75" x14ac:dyDescent="0.25">
      <c r="A112" s="46" t="s">
        <v>321</v>
      </c>
      <c r="B112" s="47" t="s">
        <v>391</v>
      </c>
      <c r="C112" s="43" t="s">
        <v>322</v>
      </c>
      <c r="D112" s="48">
        <f>50-25</f>
        <v>25</v>
      </c>
    </row>
    <row r="113" spans="1:4" ht="15.75" x14ac:dyDescent="0.25">
      <c r="A113" s="42" t="s">
        <v>392</v>
      </c>
      <c r="B113" s="43" t="s">
        <v>393</v>
      </c>
      <c r="C113" s="43"/>
      <c r="D113" s="44">
        <f>D114</f>
        <v>247</v>
      </c>
    </row>
    <row r="114" spans="1:4" ht="15.75" x14ac:dyDescent="0.25">
      <c r="A114" s="49" t="s">
        <v>297</v>
      </c>
      <c r="B114" s="47" t="s">
        <v>393</v>
      </c>
      <c r="C114" s="43" t="s">
        <v>298</v>
      </c>
      <c r="D114" s="48">
        <f>443-196</f>
        <v>247</v>
      </c>
    </row>
    <row r="115" spans="1:4" ht="15.75" x14ac:dyDescent="0.25">
      <c r="A115" s="42" t="s">
        <v>573</v>
      </c>
      <c r="B115" s="43" t="s">
        <v>574</v>
      </c>
      <c r="C115" s="43"/>
      <c r="D115" s="44">
        <f>D116</f>
        <v>2164.6077299999997</v>
      </c>
    </row>
    <row r="116" spans="1:4" ht="15.75" x14ac:dyDescent="0.25">
      <c r="A116" s="49" t="s">
        <v>297</v>
      </c>
      <c r="B116" s="47" t="s">
        <v>574</v>
      </c>
      <c r="C116" s="43" t="s">
        <v>298</v>
      </c>
      <c r="D116" s="48">
        <f>1864.611+300-0.00327</f>
        <v>2164.6077299999997</v>
      </c>
    </row>
    <row r="117" spans="1:4" ht="15.75" x14ac:dyDescent="0.25">
      <c r="A117" s="36" t="s">
        <v>583</v>
      </c>
      <c r="B117" s="37" t="s">
        <v>584</v>
      </c>
      <c r="C117" s="37"/>
      <c r="D117" s="38">
        <f>D118+D137+D162+D177+D184</f>
        <v>416725.09400000004</v>
      </c>
    </row>
    <row r="118" spans="1:4" ht="15.75" x14ac:dyDescent="0.25">
      <c r="A118" s="42" t="s">
        <v>585</v>
      </c>
      <c r="B118" s="43" t="s">
        <v>586</v>
      </c>
      <c r="C118" s="43"/>
      <c r="D118" s="44">
        <f>D119+D121+D128+D131+D133+D135</f>
        <v>147012.42366</v>
      </c>
    </row>
    <row r="119" spans="1:4" ht="31.5" x14ac:dyDescent="0.25">
      <c r="A119" s="42" t="s">
        <v>492</v>
      </c>
      <c r="B119" s="43" t="s">
        <v>587</v>
      </c>
      <c r="C119" s="43"/>
      <c r="D119" s="44">
        <v>134.63200000000001</v>
      </c>
    </row>
    <row r="120" spans="1:4" ht="31.5" x14ac:dyDescent="0.25">
      <c r="A120" s="49" t="s">
        <v>446</v>
      </c>
      <c r="B120" s="47" t="s">
        <v>587</v>
      </c>
      <c r="C120" s="43" t="s">
        <v>447</v>
      </c>
      <c r="D120" s="48">
        <v>134.63200000000001</v>
      </c>
    </row>
    <row r="121" spans="1:4" ht="31.5" x14ac:dyDescent="0.25">
      <c r="A121" s="42" t="s">
        <v>588</v>
      </c>
      <c r="B121" s="43" t="s">
        <v>589</v>
      </c>
      <c r="C121" s="43"/>
      <c r="D121" s="44">
        <f>D122+D124+D126</f>
        <v>143344.79165999999</v>
      </c>
    </row>
    <row r="122" spans="1:4" ht="31.5" x14ac:dyDescent="0.25">
      <c r="A122" s="42" t="s">
        <v>588</v>
      </c>
      <c r="B122" s="43" t="s">
        <v>589</v>
      </c>
      <c r="C122" s="43"/>
      <c r="D122" s="44">
        <f>D123</f>
        <v>52982.228999999999</v>
      </c>
    </row>
    <row r="123" spans="1:4" ht="31.5" x14ac:dyDescent="0.25">
      <c r="A123" s="49" t="s">
        <v>446</v>
      </c>
      <c r="B123" s="47" t="s">
        <v>589</v>
      </c>
      <c r="C123" s="43" t="s">
        <v>447</v>
      </c>
      <c r="D123" s="48">
        <f>58254.599+17.63-230-5060</f>
        <v>52982.228999999999</v>
      </c>
    </row>
    <row r="124" spans="1:4" ht="31.5" x14ac:dyDescent="0.25">
      <c r="A124" s="42" t="s">
        <v>590</v>
      </c>
      <c r="B124" s="43" t="s">
        <v>591</v>
      </c>
      <c r="C124" s="43"/>
      <c r="D124" s="44">
        <f>D125</f>
        <v>86943.168659999996</v>
      </c>
    </row>
    <row r="125" spans="1:4" ht="31.5" x14ac:dyDescent="0.25">
      <c r="A125" s="49" t="s">
        <v>446</v>
      </c>
      <c r="B125" s="47" t="s">
        <v>591</v>
      </c>
      <c r="C125" s="43" t="s">
        <v>447</v>
      </c>
      <c r="D125" s="48">
        <f>5779.02+76782.72-94.14574+4475.5744</f>
        <v>86943.168659999996</v>
      </c>
    </row>
    <row r="126" spans="1:4" ht="31.5" x14ac:dyDescent="0.25">
      <c r="A126" s="16" t="s">
        <v>592</v>
      </c>
      <c r="B126" s="17" t="s">
        <v>702</v>
      </c>
      <c r="C126" s="17"/>
      <c r="D126" s="18">
        <f>D127</f>
        <v>3419.3939999999998</v>
      </c>
    </row>
    <row r="127" spans="1:4" ht="31.5" x14ac:dyDescent="0.25">
      <c r="A127" s="16" t="s">
        <v>446</v>
      </c>
      <c r="B127" s="17" t="s">
        <v>702</v>
      </c>
      <c r="C127" s="17" t="s">
        <v>447</v>
      </c>
      <c r="D127" s="18">
        <f>3419.394</f>
        <v>3419.3939999999998</v>
      </c>
    </row>
    <row r="128" spans="1:4" ht="47.25" x14ac:dyDescent="0.25">
      <c r="A128" s="42" t="s">
        <v>594</v>
      </c>
      <c r="B128" s="43" t="s">
        <v>595</v>
      </c>
      <c r="C128" s="43"/>
      <c r="D128" s="44">
        <f>D129</f>
        <v>2883.2</v>
      </c>
    </row>
    <row r="129" spans="1:4" ht="47.25" x14ac:dyDescent="0.25">
      <c r="A129" s="42" t="s">
        <v>594</v>
      </c>
      <c r="B129" s="43" t="s">
        <v>596</v>
      </c>
      <c r="C129" s="43"/>
      <c r="D129" s="44">
        <f>D130</f>
        <v>2883.2</v>
      </c>
    </row>
    <row r="130" spans="1:4" ht="31.5" x14ac:dyDescent="0.25">
      <c r="A130" s="49" t="s">
        <v>446</v>
      </c>
      <c r="B130" s="47" t="s">
        <v>596</v>
      </c>
      <c r="C130" s="43" t="s">
        <v>447</v>
      </c>
      <c r="D130" s="48">
        <f>18+2545.2+320</f>
        <v>2883.2</v>
      </c>
    </row>
    <row r="131" spans="1:4" ht="15.75" x14ac:dyDescent="0.25">
      <c r="A131" s="42" t="s">
        <v>597</v>
      </c>
      <c r="B131" s="43" t="s">
        <v>598</v>
      </c>
      <c r="C131" s="43"/>
      <c r="D131" s="44">
        <f>D132</f>
        <v>415</v>
      </c>
    </row>
    <row r="132" spans="1:4" ht="31.5" x14ac:dyDescent="0.25">
      <c r="A132" s="49" t="s">
        <v>446</v>
      </c>
      <c r="B132" s="47" t="s">
        <v>598</v>
      </c>
      <c r="C132" s="43" t="s">
        <v>447</v>
      </c>
      <c r="D132" s="48">
        <f>290+125</f>
        <v>415</v>
      </c>
    </row>
    <row r="133" spans="1:4" ht="15.75" x14ac:dyDescent="0.25">
      <c r="A133" s="42" t="s">
        <v>599</v>
      </c>
      <c r="B133" s="43" t="s">
        <v>600</v>
      </c>
      <c r="C133" s="43"/>
      <c r="D133" s="44">
        <f>D134</f>
        <v>141</v>
      </c>
    </row>
    <row r="134" spans="1:4" ht="31.5" x14ac:dyDescent="0.25">
      <c r="A134" s="49" t="s">
        <v>446</v>
      </c>
      <c r="B134" s="47" t="s">
        <v>600</v>
      </c>
      <c r="C134" s="47" t="s">
        <v>447</v>
      </c>
      <c r="D134" s="48">
        <f>71+70</f>
        <v>141</v>
      </c>
    </row>
    <row r="135" spans="1:4" ht="15.75" x14ac:dyDescent="0.25">
      <c r="A135" s="42" t="s">
        <v>601</v>
      </c>
      <c r="B135" s="43" t="s">
        <v>602</v>
      </c>
      <c r="C135" s="43"/>
      <c r="D135" s="44">
        <f>D136</f>
        <v>93.8</v>
      </c>
    </row>
    <row r="136" spans="1:4" ht="31.5" x14ac:dyDescent="0.25">
      <c r="A136" s="49" t="s">
        <v>446</v>
      </c>
      <c r="B136" s="43" t="s">
        <v>602</v>
      </c>
      <c r="C136" s="43" t="s">
        <v>447</v>
      </c>
      <c r="D136" s="44">
        <f>-10.48+1.08+103.2</f>
        <v>93.8</v>
      </c>
    </row>
    <row r="137" spans="1:4" ht="15.75" x14ac:dyDescent="0.25">
      <c r="A137" s="42" t="s">
        <v>603</v>
      </c>
      <c r="B137" s="43" t="s">
        <v>604</v>
      </c>
      <c r="C137" s="43"/>
      <c r="D137" s="44">
        <f>D138+D140+D142+D144+D146+D149+D151+D153+D155+D157+D160</f>
        <v>226761.37834</v>
      </c>
    </row>
    <row r="138" spans="1:4" ht="31.5" x14ac:dyDescent="0.25">
      <c r="A138" s="42" t="s">
        <v>492</v>
      </c>
      <c r="B138" s="43" t="s">
        <v>605</v>
      </c>
      <c r="C138" s="43"/>
      <c r="D138" s="44">
        <v>80.161000000000001</v>
      </c>
    </row>
    <row r="139" spans="1:4" ht="31.5" x14ac:dyDescent="0.25">
      <c r="A139" s="49" t="s">
        <v>446</v>
      </c>
      <c r="B139" s="47" t="s">
        <v>605</v>
      </c>
      <c r="C139" s="43" t="s">
        <v>447</v>
      </c>
      <c r="D139" s="48">
        <v>80.161000000000001</v>
      </c>
    </row>
    <row r="140" spans="1:4" ht="15.75" x14ac:dyDescent="0.25">
      <c r="A140" s="42" t="s">
        <v>606</v>
      </c>
      <c r="B140" s="43" t="s">
        <v>607</v>
      </c>
      <c r="C140" s="43"/>
      <c r="D140" s="44">
        <f>D141</f>
        <v>37068.934000000008</v>
      </c>
    </row>
    <row r="141" spans="1:4" ht="31.5" x14ac:dyDescent="0.25">
      <c r="A141" s="49" t="s">
        <v>446</v>
      </c>
      <c r="B141" s="43" t="s">
        <v>607</v>
      </c>
      <c r="C141" s="43" t="s">
        <v>447</v>
      </c>
      <c r="D141" s="44">
        <f>43337.61-95.969-149.215-3.492-4670-1350</f>
        <v>37068.934000000008</v>
      </c>
    </row>
    <row r="142" spans="1:4" ht="31.5" x14ac:dyDescent="0.25">
      <c r="A142" s="42" t="s">
        <v>590</v>
      </c>
      <c r="B142" s="43" t="s">
        <v>608</v>
      </c>
      <c r="C142" s="43"/>
      <c r="D142" s="44">
        <f>D143</f>
        <v>162476.23134</v>
      </c>
    </row>
    <row r="143" spans="1:4" ht="31.5" x14ac:dyDescent="0.25">
      <c r="A143" s="49" t="s">
        <v>446</v>
      </c>
      <c r="B143" s="47" t="s">
        <v>608</v>
      </c>
      <c r="C143" s="47" t="s">
        <v>447</v>
      </c>
      <c r="D143" s="48">
        <f>165643.06+1214.6-2844.42087-1537.00779</f>
        <v>162476.23134</v>
      </c>
    </row>
    <row r="144" spans="1:4" ht="31.5" x14ac:dyDescent="0.25">
      <c r="A144" s="16" t="s">
        <v>592</v>
      </c>
      <c r="B144" s="17" t="s">
        <v>703</v>
      </c>
      <c r="C144" s="17"/>
      <c r="D144" s="18">
        <f>D145</f>
        <v>13978.383</v>
      </c>
    </row>
    <row r="145" spans="1:4" ht="31.5" x14ac:dyDescent="0.25">
      <c r="A145" s="16" t="s">
        <v>446</v>
      </c>
      <c r="B145" s="17" t="s">
        <v>703</v>
      </c>
      <c r="C145" s="17" t="s">
        <v>447</v>
      </c>
      <c r="D145" s="18">
        <f>13978.383</f>
        <v>13978.383</v>
      </c>
    </row>
    <row r="146" spans="1:4" ht="47.25" x14ac:dyDescent="0.25">
      <c r="A146" s="42" t="s">
        <v>594</v>
      </c>
      <c r="B146" s="43" t="s">
        <v>610</v>
      </c>
      <c r="C146" s="43"/>
      <c r="D146" s="44">
        <f>D147</f>
        <v>598</v>
      </c>
    </row>
    <row r="147" spans="1:4" ht="47.25" x14ac:dyDescent="0.25">
      <c r="A147" s="42" t="s">
        <v>594</v>
      </c>
      <c r="B147" s="43" t="s">
        <v>611</v>
      </c>
      <c r="C147" s="43"/>
      <c r="D147" s="44">
        <f>D148</f>
        <v>598</v>
      </c>
    </row>
    <row r="148" spans="1:4" ht="31.5" x14ac:dyDescent="0.25">
      <c r="A148" s="49" t="s">
        <v>446</v>
      </c>
      <c r="B148" s="47" t="s">
        <v>611</v>
      </c>
      <c r="C148" s="47" t="s">
        <v>447</v>
      </c>
      <c r="D148" s="48">
        <f>357+241</f>
        <v>598</v>
      </c>
    </row>
    <row r="149" spans="1:4" ht="15.75" x14ac:dyDescent="0.25">
      <c r="A149" s="42" t="s">
        <v>601</v>
      </c>
      <c r="B149" s="43" t="s">
        <v>612</v>
      </c>
      <c r="C149" s="43"/>
      <c r="D149" s="44">
        <f>D150</f>
        <v>760.88600000000008</v>
      </c>
    </row>
    <row r="150" spans="1:4" ht="31.5" x14ac:dyDescent="0.25">
      <c r="A150" s="49" t="s">
        <v>446</v>
      </c>
      <c r="B150" s="43" t="s">
        <v>612</v>
      </c>
      <c r="C150" s="43" t="s">
        <v>447</v>
      </c>
      <c r="D150" s="44">
        <f>105.105+661+0.264-5.483</f>
        <v>760.88600000000008</v>
      </c>
    </row>
    <row r="151" spans="1:4" ht="15.75" x14ac:dyDescent="0.25">
      <c r="A151" s="42" t="s">
        <v>613</v>
      </c>
      <c r="B151" s="43" t="s">
        <v>614</v>
      </c>
      <c r="C151" s="43"/>
      <c r="D151" s="44">
        <f>D152</f>
        <v>43</v>
      </c>
    </row>
    <row r="152" spans="1:4" ht="31.5" x14ac:dyDescent="0.25">
      <c r="A152" s="49" t="s">
        <v>446</v>
      </c>
      <c r="B152" s="43" t="s">
        <v>614</v>
      </c>
      <c r="C152" s="43" t="s">
        <v>447</v>
      </c>
      <c r="D152" s="44">
        <f>33+10</f>
        <v>43</v>
      </c>
    </row>
    <row r="153" spans="1:4" ht="15.75" x14ac:dyDescent="0.25">
      <c r="A153" s="42" t="s">
        <v>615</v>
      </c>
      <c r="B153" s="43" t="s">
        <v>616</v>
      </c>
      <c r="C153" s="43"/>
      <c r="D153" s="44">
        <f>D154</f>
        <v>561.2829999999999</v>
      </c>
    </row>
    <row r="154" spans="1:4" ht="31.5" x14ac:dyDescent="0.25">
      <c r="A154" s="49" t="s">
        <v>446</v>
      </c>
      <c r="B154" s="43" t="s">
        <v>616</v>
      </c>
      <c r="C154" s="43" t="s">
        <v>447</v>
      </c>
      <c r="D154" s="44">
        <f>425-116.037+166.32+86</f>
        <v>561.2829999999999</v>
      </c>
    </row>
    <row r="155" spans="1:4" ht="15.75" x14ac:dyDescent="0.25">
      <c r="A155" s="42" t="s">
        <v>617</v>
      </c>
      <c r="B155" s="43" t="s">
        <v>618</v>
      </c>
      <c r="C155" s="43"/>
      <c r="D155" s="44">
        <f>D156</f>
        <v>2676</v>
      </c>
    </row>
    <row r="156" spans="1:4" ht="31.5" x14ac:dyDescent="0.25">
      <c r="A156" s="49" t="s">
        <v>446</v>
      </c>
      <c r="B156" s="43" t="s">
        <v>618</v>
      </c>
      <c r="C156" s="43" t="s">
        <v>447</v>
      </c>
      <c r="D156" s="44">
        <f>76+2600</f>
        <v>2676</v>
      </c>
    </row>
    <row r="157" spans="1:4" ht="31.5" x14ac:dyDescent="0.25">
      <c r="A157" s="42" t="s">
        <v>619</v>
      </c>
      <c r="B157" s="43" t="s">
        <v>704</v>
      </c>
      <c r="C157" s="43"/>
      <c r="D157" s="44">
        <v>8218.5</v>
      </c>
    </row>
    <row r="158" spans="1:4" ht="31.5" x14ac:dyDescent="0.25">
      <c r="A158" s="42" t="s">
        <v>619</v>
      </c>
      <c r="B158" s="43" t="s">
        <v>620</v>
      </c>
      <c r="C158" s="43"/>
      <c r="D158" s="44">
        <v>8218.5</v>
      </c>
    </row>
    <row r="159" spans="1:4" ht="31.5" x14ac:dyDescent="0.25">
      <c r="A159" s="49" t="s">
        <v>446</v>
      </c>
      <c r="B159" s="47" t="s">
        <v>620</v>
      </c>
      <c r="C159" s="43" t="s">
        <v>447</v>
      </c>
      <c r="D159" s="48">
        <v>8218.5</v>
      </c>
    </row>
    <row r="160" spans="1:4" ht="15.75" x14ac:dyDescent="0.25">
      <c r="A160" s="42" t="s">
        <v>621</v>
      </c>
      <c r="B160" s="43" t="s">
        <v>622</v>
      </c>
      <c r="C160" s="43"/>
      <c r="D160" s="44">
        <v>300</v>
      </c>
    </row>
    <row r="161" spans="1:4" ht="31.5" x14ac:dyDescent="0.25">
      <c r="A161" s="49" t="s">
        <v>446</v>
      </c>
      <c r="B161" s="43" t="s">
        <v>622</v>
      </c>
      <c r="C161" s="43" t="s">
        <v>447</v>
      </c>
      <c r="D161" s="44">
        <v>300</v>
      </c>
    </row>
    <row r="162" spans="1:4" ht="15.75" x14ac:dyDescent="0.25">
      <c r="A162" s="42" t="s">
        <v>623</v>
      </c>
      <c r="B162" s="43" t="s">
        <v>624</v>
      </c>
      <c r="C162" s="43"/>
      <c r="D162" s="44">
        <f>D163+D165+D168+D170+D172+D174</f>
        <v>21668.732</v>
      </c>
    </row>
    <row r="163" spans="1:4" ht="15.75" x14ac:dyDescent="0.25">
      <c r="A163" s="42" t="s">
        <v>625</v>
      </c>
      <c r="B163" s="43" t="s">
        <v>626</v>
      </c>
      <c r="C163" s="43"/>
      <c r="D163" s="44">
        <f>D164</f>
        <v>473.62599999999998</v>
      </c>
    </row>
    <row r="164" spans="1:4" ht="15.75" x14ac:dyDescent="0.25">
      <c r="A164" s="49" t="s">
        <v>374</v>
      </c>
      <c r="B164" s="43" t="s">
        <v>626</v>
      </c>
      <c r="C164" s="43" t="s">
        <v>375</v>
      </c>
      <c r="D164" s="44">
        <f>500-26.374</f>
        <v>473.62599999999998</v>
      </c>
    </row>
    <row r="165" spans="1:4" ht="15.75" x14ac:dyDescent="0.25">
      <c r="A165" s="42" t="s">
        <v>705</v>
      </c>
      <c r="B165" s="43" t="s">
        <v>706</v>
      </c>
      <c r="C165" s="43"/>
      <c r="D165" s="44">
        <v>1006.274</v>
      </c>
    </row>
    <row r="166" spans="1:4" ht="31.5" x14ac:dyDescent="0.25">
      <c r="A166" s="42" t="s">
        <v>627</v>
      </c>
      <c r="B166" s="43" t="s">
        <v>628</v>
      </c>
      <c r="C166" s="43"/>
      <c r="D166" s="44">
        <v>1006.274</v>
      </c>
    </row>
    <row r="167" spans="1:4" ht="15.75" x14ac:dyDescent="0.25">
      <c r="A167" s="49" t="s">
        <v>374</v>
      </c>
      <c r="B167" s="47" t="s">
        <v>628</v>
      </c>
      <c r="C167" s="43" t="s">
        <v>375</v>
      </c>
      <c r="D167" s="48">
        <v>1006.274</v>
      </c>
    </row>
    <row r="168" spans="1:4" ht="31.5" x14ac:dyDescent="0.25">
      <c r="A168" s="42" t="s">
        <v>588</v>
      </c>
      <c r="B168" s="43" t="s">
        <v>629</v>
      </c>
      <c r="C168" s="43"/>
      <c r="D168" s="44">
        <f>D169</f>
        <v>15438.954999999998</v>
      </c>
    </row>
    <row r="169" spans="1:4" ht="31.5" x14ac:dyDescent="0.25">
      <c r="A169" s="49" t="s">
        <v>446</v>
      </c>
      <c r="B169" s="43" t="s">
        <v>629</v>
      </c>
      <c r="C169" s="43" t="s">
        <v>447</v>
      </c>
      <c r="D169" s="44">
        <f>18115.206-1.251+15-3390+700</f>
        <v>15438.954999999998</v>
      </c>
    </row>
    <row r="170" spans="1:4" ht="31.5" x14ac:dyDescent="0.25">
      <c r="A170" s="42" t="s">
        <v>478</v>
      </c>
      <c r="B170" s="43" t="s">
        <v>630</v>
      </c>
      <c r="C170" s="43"/>
      <c r="D170" s="44">
        <f>D171</f>
        <v>4074.66</v>
      </c>
    </row>
    <row r="171" spans="1:4" ht="31.5" x14ac:dyDescent="0.25">
      <c r="A171" s="49" t="s">
        <v>446</v>
      </c>
      <c r="B171" s="47" t="s">
        <v>630</v>
      </c>
      <c r="C171" s="43" t="s">
        <v>447</v>
      </c>
      <c r="D171" s="48">
        <f>4074.66</f>
        <v>4074.66</v>
      </c>
    </row>
    <row r="172" spans="1:4" ht="31.5" x14ac:dyDescent="0.25">
      <c r="A172" s="42" t="s">
        <v>492</v>
      </c>
      <c r="B172" s="43" t="s">
        <v>631</v>
      </c>
      <c r="C172" s="43"/>
      <c r="D172" s="44">
        <v>8.5500000000000007</v>
      </c>
    </row>
    <row r="173" spans="1:4" ht="31.5" x14ac:dyDescent="0.25">
      <c r="A173" s="49" t="s">
        <v>446</v>
      </c>
      <c r="B173" s="47" t="s">
        <v>631</v>
      </c>
      <c r="C173" s="43" t="s">
        <v>447</v>
      </c>
      <c r="D173" s="48">
        <v>8.5500000000000007</v>
      </c>
    </row>
    <row r="174" spans="1:4" ht="15.75" x14ac:dyDescent="0.25">
      <c r="A174" s="42" t="s">
        <v>707</v>
      </c>
      <c r="B174" s="43" t="s">
        <v>708</v>
      </c>
      <c r="C174" s="43"/>
      <c r="D174" s="44">
        <v>666.66700000000003</v>
      </c>
    </row>
    <row r="175" spans="1:4" ht="31.5" x14ac:dyDescent="0.25">
      <c r="A175" s="42" t="s">
        <v>632</v>
      </c>
      <c r="B175" s="43" t="s">
        <v>633</v>
      </c>
      <c r="C175" s="43"/>
      <c r="D175" s="44">
        <v>666.66700000000003</v>
      </c>
    </row>
    <row r="176" spans="1:4" ht="31.5" x14ac:dyDescent="0.25">
      <c r="A176" s="49" t="s">
        <v>446</v>
      </c>
      <c r="B176" s="47" t="s">
        <v>633</v>
      </c>
      <c r="C176" s="43" t="s">
        <v>447</v>
      </c>
      <c r="D176" s="48">
        <v>666.66700000000003</v>
      </c>
    </row>
    <row r="177" spans="1:4" ht="15.75" x14ac:dyDescent="0.25">
      <c r="A177" s="42" t="s">
        <v>634</v>
      </c>
      <c r="B177" s="43" t="s">
        <v>635</v>
      </c>
      <c r="C177" s="43"/>
      <c r="D177" s="44">
        <f>D178+D180+D182</f>
        <v>1304.1659999999999</v>
      </c>
    </row>
    <row r="178" spans="1:4" ht="15.75" x14ac:dyDescent="0.25">
      <c r="A178" s="42" t="s">
        <v>636</v>
      </c>
      <c r="B178" s="43" t="s">
        <v>637</v>
      </c>
      <c r="C178" s="43"/>
      <c r="D178" s="44">
        <f>D179</f>
        <v>15.599999999999994</v>
      </c>
    </row>
    <row r="179" spans="1:4" ht="31.5" x14ac:dyDescent="0.25">
      <c r="A179" s="49" t="s">
        <v>446</v>
      </c>
      <c r="B179" s="43" t="s">
        <v>637</v>
      </c>
      <c r="C179" s="43" t="s">
        <v>447</v>
      </c>
      <c r="D179" s="44">
        <f>200-184.4</f>
        <v>15.599999999999994</v>
      </c>
    </row>
    <row r="180" spans="1:4" ht="15.75" x14ac:dyDescent="0.25">
      <c r="A180" s="42" t="s">
        <v>638</v>
      </c>
      <c r="B180" s="43" t="s">
        <v>639</v>
      </c>
      <c r="C180" s="43"/>
      <c r="D180" s="44">
        <v>1143.5</v>
      </c>
    </row>
    <row r="181" spans="1:4" ht="31.5" x14ac:dyDescent="0.25">
      <c r="A181" s="49" t="s">
        <v>446</v>
      </c>
      <c r="B181" s="47" t="s">
        <v>639</v>
      </c>
      <c r="C181" s="47" t="s">
        <v>447</v>
      </c>
      <c r="D181" s="48">
        <v>1143.5</v>
      </c>
    </row>
    <row r="182" spans="1:4" ht="15.75" x14ac:dyDescent="0.25">
      <c r="A182" s="42" t="s">
        <v>640</v>
      </c>
      <c r="B182" s="43" t="s">
        <v>641</v>
      </c>
      <c r="C182" s="43"/>
      <c r="D182" s="44">
        <f>D183</f>
        <v>145.066</v>
      </c>
    </row>
    <row r="183" spans="1:4" ht="31.5" x14ac:dyDescent="0.25">
      <c r="A183" s="49" t="s">
        <v>446</v>
      </c>
      <c r="B183" s="43" t="s">
        <v>641</v>
      </c>
      <c r="C183" s="43" t="s">
        <v>447</v>
      </c>
      <c r="D183" s="44">
        <f>156.65-11.584</f>
        <v>145.066</v>
      </c>
    </row>
    <row r="184" spans="1:4" ht="15.75" x14ac:dyDescent="0.25">
      <c r="A184" s="42" t="s">
        <v>642</v>
      </c>
      <c r="B184" s="43" t="s">
        <v>643</v>
      </c>
      <c r="C184" s="43"/>
      <c r="D184" s="44">
        <f>D185</f>
        <v>19978.394</v>
      </c>
    </row>
    <row r="185" spans="1:4" ht="15.75" x14ac:dyDescent="0.25">
      <c r="A185" s="42" t="s">
        <v>644</v>
      </c>
      <c r="B185" s="43" t="s">
        <v>645</v>
      </c>
      <c r="C185" s="43"/>
      <c r="D185" s="44">
        <f>D186+D187+D188</f>
        <v>19978.394</v>
      </c>
    </row>
    <row r="186" spans="1:4" ht="47.25" x14ac:dyDescent="0.25">
      <c r="A186" s="42" t="s">
        <v>293</v>
      </c>
      <c r="B186" s="43" t="s">
        <v>645</v>
      </c>
      <c r="C186" s="43" t="s">
        <v>294</v>
      </c>
      <c r="D186" s="44">
        <f>16636.627+311.609+1428.97+0.062-41.576</f>
        <v>18335.692000000003</v>
      </c>
    </row>
    <row r="187" spans="1:4" ht="15.75" x14ac:dyDescent="0.25">
      <c r="A187" s="49" t="s">
        <v>297</v>
      </c>
      <c r="B187" s="47" t="s">
        <v>645</v>
      </c>
      <c r="C187" s="43" t="s">
        <v>298</v>
      </c>
      <c r="D187" s="48">
        <f>20+1646.038+14.897-5.115-43.43-12.995-9.796</f>
        <v>1609.5989999999999</v>
      </c>
    </row>
    <row r="188" spans="1:4" ht="15.75" x14ac:dyDescent="0.25">
      <c r="A188" s="49" t="s">
        <v>644</v>
      </c>
      <c r="B188" s="47" t="s">
        <v>645</v>
      </c>
      <c r="C188" s="43" t="s">
        <v>316</v>
      </c>
      <c r="D188" s="48">
        <f>48-14.897</f>
        <v>33.103000000000002</v>
      </c>
    </row>
    <row r="189" spans="1:4" ht="15.75" x14ac:dyDescent="0.25">
      <c r="A189" s="36" t="s">
        <v>472</v>
      </c>
      <c r="B189" s="37" t="s">
        <v>473</v>
      </c>
      <c r="C189" s="37"/>
      <c r="D189" s="38">
        <f>D190+D195+D208+D215+D234+D239+D244</f>
        <v>108288.81320999999</v>
      </c>
    </row>
    <row r="190" spans="1:4" ht="15.75" x14ac:dyDescent="0.25">
      <c r="A190" s="42" t="s">
        <v>474</v>
      </c>
      <c r="B190" s="43" t="s">
        <v>475</v>
      </c>
      <c r="C190" s="43"/>
      <c r="D190" s="44">
        <f>D191+D193</f>
        <v>14653.825000000001</v>
      </c>
    </row>
    <row r="191" spans="1:4" ht="15.75" x14ac:dyDescent="0.25">
      <c r="A191" s="42" t="s">
        <v>476</v>
      </c>
      <c r="B191" s="43" t="s">
        <v>477</v>
      </c>
      <c r="C191" s="43"/>
      <c r="D191" s="44">
        <f>D192</f>
        <v>12701.781000000001</v>
      </c>
    </row>
    <row r="192" spans="1:4" ht="31.5" x14ac:dyDescent="0.25">
      <c r="A192" s="49" t="s">
        <v>446</v>
      </c>
      <c r="B192" s="43" t="s">
        <v>477</v>
      </c>
      <c r="C192" s="43" t="s">
        <v>447</v>
      </c>
      <c r="D192" s="44">
        <f>12705.156-3.375</f>
        <v>12701.781000000001</v>
      </c>
    </row>
    <row r="193" spans="1:4" ht="31.5" x14ac:dyDescent="0.25">
      <c r="A193" s="42" t="s">
        <v>478</v>
      </c>
      <c r="B193" s="43" t="s">
        <v>479</v>
      </c>
      <c r="C193" s="43"/>
      <c r="D193" s="44">
        <v>1952.0440000000001</v>
      </c>
    </row>
    <row r="194" spans="1:4" ht="31.5" x14ac:dyDescent="0.25">
      <c r="A194" s="49" t="s">
        <v>446</v>
      </c>
      <c r="B194" s="47" t="s">
        <v>479</v>
      </c>
      <c r="C194" s="43" t="s">
        <v>447</v>
      </c>
      <c r="D194" s="48">
        <v>1952.0440000000001</v>
      </c>
    </row>
    <row r="195" spans="1:4" ht="15.75" x14ac:dyDescent="0.25">
      <c r="A195" s="42" t="s">
        <v>480</v>
      </c>
      <c r="B195" s="43" t="s">
        <v>481</v>
      </c>
      <c r="C195" s="43"/>
      <c r="D195" s="44">
        <f>D196+D198+D200+D202+D204+D206</f>
        <v>19911.905859999999</v>
      </c>
    </row>
    <row r="196" spans="1:4" ht="15.75" x14ac:dyDescent="0.25">
      <c r="A196" s="42" t="s">
        <v>709</v>
      </c>
      <c r="B196" s="43" t="s">
        <v>710</v>
      </c>
      <c r="C196" s="43"/>
      <c r="D196" s="44">
        <v>281.09500000000003</v>
      </c>
    </row>
    <row r="197" spans="1:4" ht="31.5" x14ac:dyDescent="0.25">
      <c r="A197" s="49" t="s">
        <v>446</v>
      </c>
      <c r="B197" s="43" t="s">
        <v>483</v>
      </c>
      <c r="C197" s="43" t="s">
        <v>447</v>
      </c>
      <c r="D197" s="44">
        <v>281.09500000000003</v>
      </c>
    </row>
    <row r="198" spans="1:4" ht="15.75" x14ac:dyDescent="0.25">
      <c r="A198" s="42" t="s">
        <v>484</v>
      </c>
      <c r="B198" s="43" t="s">
        <v>485</v>
      </c>
      <c r="C198" s="43"/>
      <c r="D198" s="44">
        <f>D199</f>
        <v>80</v>
      </c>
    </row>
    <row r="199" spans="1:4" ht="31.5" x14ac:dyDescent="0.25">
      <c r="A199" s="49" t="s">
        <v>446</v>
      </c>
      <c r="B199" s="43" t="s">
        <v>485</v>
      </c>
      <c r="C199" s="43" t="s">
        <v>447</v>
      </c>
      <c r="D199" s="44">
        <f>72.58+7.42</f>
        <v>80</v>
      </c>
    </row>
    <row r="200" spans="1:4" ht="15.75" x14ac:dyDescent="0.25">
      <c r="A200" s="42" t="s">
        <v>486</v>
      </c>
      <c r="B200" s="43" t="s">
        <v>487</v>
      </c>
      <c r="C200" s="43"/>
      <c r="D200" s="44">
        <v>5</v>
      </c>
    </row>
    <row r="201" spans="1:4" ht="31.5" x14ac:dyDescent="0.25">
      <c r="A201" s="49" t="s">
        <v>446</v>
      </c>
      <c r="B201" s="43" t="s">
        <v>487</v>
      </c>
      <c r="C201" s="43" t="s">
        <v>447</v>
      </c>
      <c r="D201" s="44">
        <v>5</v>
      </c>
    </row>
    <row r="202" spans="1:4" ht="15.75" x14ac:dyDescent="0.25">
      <c r="A202" s="42" t="s">
        <v>488</v>
      </c>
      <c r="B202" s="43" t="s">
        <v>489</v>
      </c>
      <c r="C202" s="43"/>
      <c r="D202" s="44">
        <f>D203</f>
        <v>13159.414859999999</v>
      </c>
    </row>
    <row r="203" spans="1:4" ht="31.5" x14ac:dyDescent="0.25">
      <c r="A203" s="49" t="s">
        <v>446</v>
      </c>
      <c r="B203" s="43" t="s">
        <v>489</v>
      </c>
      <c r="C203" s="43" t="s">
        <v>447</v>
      </c>
      <c r="D203" s="44">
        <f>12412.697+330.82886-4.341+420.23</f>
        <v>13159.414859999999</v>
      </c>
    </row>
    <row r="204" spans="1:4" ht="31.5" x14ac:dyDescent="0.25">
      <c r="A204" s="42" t="s">
        <v>490</v>
      </c>
      <c r="B204" s="43" t="s">
        <v>491</v>
      </c>
      <c r="C204" s="43"/>
      <c r="D204" s="44">
        <v>6381.4059999999999</v>
      </c>
    </row>
    <row r="205" spans="1:4" ht="31.5" x14ac:dyDescent="0.25">
      <c r="A205" s="49" t="s">
        <v>446</v>
      </c>
      <c r="B205" s="47" t="s">
        <v>491</v>
      </c>
      <c r="C205" s="43" t="s">
        <v>447</v>
      </c>
      <c r="D205" s="48">
        <v>6381.4059999999999</v>
      </c>
    </row>
    <row r="206" spans="1:4" ht="31.5" x14ac:dyDescent="0.25">
      <c r="A206" s="42" t="s">
        <v>492</v>
      </c>
      <c r="B206" s="43" t="s">
        <v>493</v>
      </c>
      <c r="C206" s="43"/>
      <c r="D206" s="44">
        <v>4.99</v>
      </c>
    </row>
    <row r="207" spans="1:4" ht="31.5" x14ac:dyDescent="0.25">
      <c r="A207" s="49" t="s">
        <v>446</v>
      </c>
      <c r="B207" s="47" t="s">
        <v>493</v>
      </c>
      <c r="C207" s="43" t="s">
        <v>447</v>
      </c>
      <c r="D207" s="48">
        <v>4.99</v>
      </c>
    </row>
    <row r="208" spans="1:4" ht="15.75" x14ac:dyDescent="0.25">
      <c r="A208" s="42" t="s">
        <v>494</v>
      </c>
      <c r="B208" s="43" t="s">
        <v>495</v>
      </c>
      <c r="C208" s="43"/>
      <c r="D208" s="44">
        <f>D209+D211+D213</f>
        <v>3252.6697300000001</v>
      </c>
    </row>
    <row r="209" spans="1:4" ht="15.75" x14ac:dyDescent="0.25">
      <c r="A209" s="42" t="s">
        <v>488</v>
      </c>
      <c r="B209" s="43" t="s">
        <v>496</v>
      </c>
      <c r="C209" s="43"/>
      <c r="D209" s="44">
        <f>D210</f>
        <v>1814.2837300000001</v>
      </c>
    </row>
    <row r="210" spans="1:4" ht="31.5" x14ac:dyDescent="0.25">
      <c r="A210" s="49" t="s">
        <v>446</v>
      </c>
      <c r="B210" s="43" t="s">
        <v>496</v>
      </c>
      <c r="C210" s="43" t="s">
        <v>447</v>
      </c>
      <c r="D210" s="44">
        <f>1354.299+25+434.98473</f>
        <v>1814.2837300000001</v>
      </c>
    </row>
    <row r="211" spans="1:4" ht="31.5" x14ac:dyDescent="0.25">
      <c r="A211" s="42" t="s">
        <v>490</v>
      </c>
      <c r="B211" s="43" t="s">
        <v>497</v>
      </c>
      <c r="C211" s="43"/>
      <c r="D211" s="44">
        <v>1438.078</v>
      </c>
    </row>
    <row r="212" spans="1:4" ht="31.5" x14ac:dyDescent="0.25">
      <c r="A212" s="49" t="s">
        <v>446</v>
      </c>
      <c r="B212" s="47" t="s">
        <v>497</v>
      </c>
      <c r="C212" s="43" t="s">
        <v>447</v>
      </c>
      <c r="D212" s="48">
        <v>1438.078</v>
      </c>
    </row>
    <row r="213" spans="1:4" ht="31.5" x14ac:dyDescent="0.25">
      <c r="A213" s="42" t="s">
        <v>492</v>
      </c>
      <c r="B213" s="43" t="s">
        <v>498</v>
      </c>
      <c r="C213" s="43"/>
      <c r="D213" s="44">
        <v>0.308</v>
      </c>
    </row>
    <row r="214" spans="1:4" ht="31.5" x14ac:dyDescent="0.25">
      <c r="A214" s="49" t="s">
        <v>446</v>
      </c>
      <c r="B214" s="47" t="s">
        <v>498</v>
      </c>
      <c r="C214" s="43" t="s">
        <v>447</v>
      </c>
      <c r="D214" s="48">
        <v>0.308</v>
      </c>
    </row>
    <row r="215" spans="1:4" ht="15.75" x14ac:dyDescent="0.25">
      <c r="A215" s="42" t="s">
        <v>499</v>
      </c>
      <c r="B215" s="43" t="s">
        <v>500</v>
      </c>
      <c r="C215" s="43"/>
      <c r="D215" s="44">
        <f>D216+D217+D219+D221+D223+D227+D229+D232+D225</f>
        <v>37737.496500000001</v>
      </c>
    </row>
    <row r="216" spans="1:4" ht="31.5" x14ac:dyDescent="0.25">
      <c r="A216" s="49" t="s">
        <v>446</v>
      </c>
      <c r="B216" s="43" t="s">
        <v>501</v>
      </c>
      <c r="C216" s="43" t="s">
        <v>447</v>
      </c>
      <c r="D216" s="44">
        <v>31.826000000000001</v>
      </c>
    </row>
    <row r="217" spans="1:4" ht="15.75" x14ac:dyDescent="0.25">
      <c r="A217" s="42" t="s">
        <v>502</v>
      </c>
      <c r="B217" s="43" t="s">
        <v>503</v>
      </c>
      <c r="C217" s="43"/>
      <c r="D217" s="44">
        <f>D218</f>
        <v>21155.302</v>
      </c>
    </row>
    <row r="218" spans="1:4" ht="31.5" x14ac:dyDescent="0.25">
      <c r="A218" s="49" t="s">
        <v>446</v>
      </c>
      <c r="B218" s="43" t="s">
        <v>503</v>
      </c>
      <c r="C218" s="43" t="s">
        <v>447</v>
      </c>
      <c r="D218" s="44">
        <f>20199.828+870+85.474</f>
        <v>21155.302</v>
      </c>
    </row>
    <row r="219" spans="1:4" ht="31.5" x14ac:dyDescent="0.25">
      <c r="A219" s="42" t="s">
        <v>490</v>
      </c>
      <c r="B219" s="43" t="s">
        <v>504</v>
      </c>
      <c r="C219" s="43"/>
      <c r="D219" s="44">
        <v>7030.6030000000001</v>
      </c>
    </row>
    <row r="220" spans="1:4" ht="31.5" x14ac:dyDescent="0.25">
      <c r="A220" s="49" t="s">
        <v>446</v>
      </c>
      <c r="B220" s="47" t="s">
        <v>504</v>
      </c>
      <c r="C220" s="43" t="s">
        <v>447</v>
      </c>
      <c r="D220" s="48">
        <v>7030.6030000000001</v>
      </c>
    </row>
    <row r="221" spans="1:4" ht="15.75" x14ac:dyDescent="0.25">
      <c r="A221" s="42" t="s">
        <v>505</v>
      </c>
      <c r="B221" s="43" t="s">
        <v>506</v>
      </c>
      <c r="C221" s="43"/>
      <c r="D221" s="44">
        <f>D222</f>
        <v>1280</v>
      </c>
    </row>
    <row r="222" spans="1:4" ht="31.5" x14ac:dyDescent="0.25">
      <c r="A222" s="49" t="s">
        <v>446</v>
      </c>
      <c r="B222" s="43" t="s">
        <v>506</v>
      </c>
      <c r="C222" s="43" t="s">
        <v>447</v>
      </c>
      <c r="D222" s="44">
        <f>550+730</f>
        <v>1280</v>
      </c>
    </row>
    <row r="223" spans="1:4" ht="15.75" x14ac:dyDescent="0.25">
      <c r="A223" s="42" t="s">
        <v>509</v>
      </c>
      <c r="B223" s="43" t="s">
        <v>510</v>
      </c>
      <c r="C223" s="43"/>
      <c r="D223" s="44">
        <f>D224</f>
        <v>0</v>
      </c>
    </row>
    <row r="224" spans="1:4" ht="31.5" x14ac:dyDescent="0.25">
      <c r="A224" s="49" t="s">
        <v>446</v>
      </c>
      <c r="B224" s="43" t="s">
        <v>510</v>
      </c>
      <c r="C224" s="43" t="s">
        <v>447</v>
      </c>
      <c r="D224" s="44">
        <f>1000-1000</f>
        <v>0</v>
      </c>
    </row>
    <row r="225" spans="1:4" ht="47.25" x14ac:dyDescent="0.25">
      <c r="A225" s="42" t="s">
        <v>507</v>
      </c>
      <c r="B225" s="43" t="s">
        <v>508</v>
      </c>
      <c r="C225" s="43"/>
      <c r="D225" s="44">
        <v>1165.4369999999999</v>
      </c>
    </row>
    <row r="226" spans="1:4" ht="31.5" x14ac:dyDescent="0.25">
      <c r="A226" s="49" t="s">
        <v>446</v>
      </c>
      <c r="B226" s="47" t="s">
        <v>508</v>
      </c>
      <c r="C226" s="43" t="s">
        <v>447</v>
      </c>
      <c r="D226" s="48">
        <v>1165.4369999999999</v>
      </c>
    </row>
    <row r="227" spans="1:4" ht="15.75" x14ac:dyDescent="0.25">
      <c r="A227" s="42" t="s">
        <v>511</v>
      </c>
      <c r="B227" s="43" t="s">
        <v>512</v>
      </c>
      <c r="C227" s="43"/>
      <c r="D227" s="44">
        <f>D228</f>
        <v>54.337500000000006</v>
      </c>
    </row>
    <row r="228" spans="1:4" ht="31.5" x14ac:dyDescent="0.25">
      <c r="A228" s="49" t="s">
        <v>446</v>
      </c>
      <c r="B228" s="47" t="s">
        <v>512</v>
      </c>
      <c r="C228" s="43" t="s">
        <v>447</v>
      </c>
      <c r="D228" s="48">
        <f>54.34-0.0025</f>
        <v>54.337500000000006</v>
      </c>
    </row>
    <row r="229" spans="1:4" ht="15.75" x14ac:dyDescent="0.25">
      <c r="A229" s="42" t="s">
        <v>711</v>
      </c>
      <c r="B229" s="43" t="s">
        <v>712</v>
      </c>
      <c r="C229" s="43"/>
      <c r="D229" s="44">
        <v>333.66699999999997</v>
      </c>
    </row>
    <row r="230" spans="1:4" ht="31.5" x14ac:dyDescent="0.25">
      <c r="A230" s="42" t="s">
        <v>513</v>
      </c>
      <c r="B230" s="43" t="s">
        <v>514</v>
      </c>
      <c r="C230" s="43"/>
      <c r="D230" s="44">
        <v>333.66699999999997</v>
      </c>
    </row>
    <row r="231" spans="1:4" ht="31.5" x14ac:dyDescent="0.25">
      <c r="A231" s="49" t="s">
        <v>446</v>
      </c>
      <c r="B231" s="47" t="s">
        <v>514</v>
      </c>
      <c r="C231" s="43" t="s">
        <v>447</v>
      </c>
      <c r="D231" s="48">
        <v>333.66699999999997</v>
      </c>
    </row>
    <row r="232" spans="1:4" ht="15.75" x14ac:dyDescent="0.25">
      <c r="A232" s="42" t="s">
        <v>515</v>
      </c>
      <c r="B232" s="43" t="s">
        <v>516</v>
      </c>
      <c r="C232" s="43"/>
      <c r="D232" s="44">
        <f>96.008+6590.316</f>
        <v>6686.3239999999996</v>
      </c>
    </row>
    <row r="233" spans="1:4" ht="31.5" x14ac:dyDescent="0.25">
      <c r="A233" s="49" t="s">
        <v>446</v>
      </c>
      <c r="B233" s="43" t="s">
        <v>516</v>
      </c>
      <c r="C233" s="43" t="s">
        <v>447</v>
      </c>
      <c r="D233" s="44">
        <f>96.008+6590.316</f>
        <v>6686.3239999999996</v>
      </c>
    </row>
    <row r="234" spans="1:4" ht="15.75" x14ac:dyDescent="0.25">
      <c r="A234" s="42" t="s">
        <v>517</v>
      </c>
      <c r="B234" s="43" t="s">
        <v>518</v>
      </c>
      <c r="C234" s="43"/>
      <c r="D234" s="44">
        <f>D235</f>
        <v>5407.4949999999999</v>
      </c>
    </row>
    <row r="235" spans="1:4" ht="15.75" x14ac:dyDescent="0.25">
      <c r="A235" s="42" t="s">
        <v>519</v>
      </c>
      <c r="B235" s="43" t="s">
        <v>520</v>
      </c>
      <c r="C235" s="43"/>
      <c r="D235" s="44">
        <f>D236+D237+D238</f>
        <v>5407.4949999999999</v>
      </c>
    </row>
    <row r="236" spans="1:4" ht="47.25" x14ac:dyDescent="0.25">
      <c r="A236" s="42" t="s">
        <v>293</v>
      </c>
      <c r="B236" s="43" t="s">
        <v>520</v>
      </c>
      <c r="C236" s="43" t="s">
        <v>294</v>
      </c>
      <c r="D236" s="44">
        <f>4437.272+90.829+383.287-4</f>
        <v>4907.3879999999999</v>
      </c>
    </row>
    <row r="237" spans="1:4" ht="15.75" x14ac:dyDescent="0.25">
      <c r="A237" s="49" t="s">
        <v>297</v>
      </c>
      <c r="B237" s="47" t="s">
        <v>520</v>
      </c>
      <c r="C237" s="43" t="s">
        <v>298</v>
      </c>
      <c r="D237" s="48">
        <f>562.5+22.107+4.2-90</f>
        <v>498.80700000000002</v>
      </c>
    </row>
    <row r="238" spans="1:4" ht="15.75" x14ac:dyDescent="0.25">
      <c r="A238" s="49" t="s">
        <v>644</v>
      </c>
      <c r="B238" s="47" t="s">
        <v>520</v>
      </c>
      <c r="C238" s="43" t="s">
        <v>316</v>
      </c>
      <c r="D238" s="48">
        <f>1.5-0.2</f>
        <v>1.3</v>
      </c>
    </row>
    <row r="239" spans="1:4" ht="15.75" x14ac:dyDescent="0.25">
      <c r="A239" s="42" t="s">
        <v>521</v>
      </c>
      <c r="B239" s="43" t="s">
        <v>522</v>
      </c>
      <c r="C239" s="43"/>
      <c r="D239" s="44">
        <f>D240+D242</f>
        <v>21730.689160000002</v>
      </c>
    </row>
    <row r="240" spans="1:4" ht="15.75" x14ac:dyDescent="0.25">
      <c r="A240" s="42" t="s">
        <v>523</v>
      </c>
      <c r="B240" s="43" t="s">
        <v>524</v>
      </c>
      <c r="C240" s="43"/>
      <c r="D240" s="44">
        <f>D241</f>
        <v>8713.7191600000042</v>
      </c>
    </row>
    <row r="241" spans="1:4" ht="31.5" x14ac:dyDescent="0.25">
      <c r="A241" s="49" t="s">
        <v>446</v>
      </c>
      <c r="B241" s="43" t="s">
        <v>524</v>
      </c>
      <c r="C241" s="43" t="s">
        <v>447</v>
      </c>
      <c r="D241" s="44">
        <f>-130.17+17120.455-3221.7-880.82886-4174.03698</f>
        <v>8713.7191600000042</v>
      </c>
    </row>
    <row r="242" spans="1:4" ht="31.5" x14ac:dyDescent="0.25">
      <c r="A242" s="16" t="s">
        <v>490</v>
      </c>
      <c r="B242" s="17" t="s">
        <v>525</v>
      </c>
      <c r="C242" s="17"/>
      <c r="D242" s="18">
        <f>D243</f>
        <v>13016.97</v>
      </c>
    </row>
    <row r="243" spans="1:4" ht="31.5" x14ac:dyDescent="0.25">
      <c r="A243" s="16" t="s">
        <v>446</v>
      </c>
      <c r="B243" s="17" t="s">
        <v>525</v>
      </c>
      <c r="C243" s="17" t="s">
        <v>447</v>
      </c>
      <c r="D243" s="18">
        <f>130.17+12886.8</f>
        <v>13016.97</v>
      </c>
    </row>
    <row r="244" spans="1:4" ht="15.75" x14ac:dyDescent="0.25">
      <c r="A244" s="42" t="s">
        <v>526</v>
      </c>
      <c r="B244" s="43" t="s">
        <v>527</v>
      </c>
      <c r="C244" s="43"/>
      <c r="D244" s="44">
        <f>D245+D249</f>
        <v>5594.7319600000001</v>
      </c>
    </row>
    <row r="245" spans="1:4" ht="15.75" x14ac:dyDescent="0.25">
      <c r="A245" s="42" t="s">
        <v>528</v>
      </c>
      <c r="B245" s="43" t="s">
        <v>529</v>
      </c>
      <c r="C245" s="43"/>
      <c r="D245" s="44">
        <f>D246+D247</f>
        <v>3172.11096</v>
      </c>
    </row>
    <row r="246" spans="1:4" ht="31.5" x14ac:dyDescent="0.25">
      <c r="A246" s="49" t="s">
        <v>446</v>
      </c>
      <c r="B246" s="43" t="s">
        <v>529</v>
      </c>
      <c r="C246" s="43" t="s">
        <v>447</v>
      </c>
      <c r="D246" s="44">
        <f>1698.376+345.17896</f>
        <v>2043.5549599999999</v>
      </c>
    </row>
    <row r="247" spans="1:4" ht="31.5" x14ac:dyDescent="0.25">
      <c r="A247" s="42" t="s">
        <v>490</v>
      </c>
      <c r="B247" s="43" t="s">
        <v>530</v>
      </c>
      <c r="C247" s="43"/>
      <c r="D247" s="44">
        <v>1128.556</v>
      </c>
    </row>
    <row r="248" spans="1:4" ht="31.5" x14ac:dyDescent="0.25">
      <c r="A248" s="49" t="s">
        <v>446</v>
      </c>
      <c r="B248" s="47" t="s">
        <v>530</v>
      </c>
      <c r="C248" s="43" t="s">
        <v>447</v>
      </c>
      <c r="D248" s="48">
        <v>1128.556</v>
      </c>
    </row>
    <row r="249" spans="1:4" ht="15.75" x14ac:dyDescent="0.25">
      <c r="A249" s="42" t="s">
        <v>533</v>
      </c>
      <c r="B249" s="43" t="s">
        <v>713</v>
      </c>
      <c r="C249" s="43"/>
      <c r="D249" s="44">
        <f>422.621+2000</f>
        <v>2422.6210000000001</v>
      </c>
    </row>
    <row r="250" spans="1:4" ht="15.75" x14ac:dyDescent="0.25">
      <c r="A250" s="42" t="s">
        <v>531</v>
      </c>
      <c r="B250" s="43" t="s">
        <v>532</v>
      </c>
      <c r="C250" s="43"/>
      <c r="D250" s="44">
        <v>422.62099999999998</v>
      </c>
    </row>
    <row r="251" spans="1:4" ht="31.5" x14ac:dyDescent="0.25">
      <c r="A251" s="42" t="s">
        <v>446</v>
      </c>
      <c r="B251" s="43" t="s">
        <v>532</v>
      </c>
      <c r="C251" s="43" t="s">
        <v>447</v>
      </c>
      <c r="D251" s="44">
        <v>422.62099999999998</v>
      </c>
    </row>
    <row r="252" spans="1:4" ht="15.75" x14ac:dyDescent="0.25">
      <c r="A252" s="42" t="s">
        <v>714</v>
      </c>
      <c r="B252" s="43" t="s">
        <v>534</v>
      </c>
      <c r="C252" s="43"/>
      <c r="D252" s="44">
        <v>2000</v>
      </c>
    </row>
    <row r="253" spans="1:4" ht="31.5" x14ac:dyDescent="0.25">
      <c r="A253" s="49" t="s">
        <v>446</v>
      </c>
      <c r="B253" s="47" t="s">
        <v>534</v>
      </c>
      <c r="C253" s="43" t="s">
        <v>447</v>
      </c>
      <c r="D253" s="48">
        <v>2000</v>
      </c>
    </row>
    <row r="254" spans="1:4" ht="31.5" x14ac:dyDescent="0.25">
      <c r="A254" s="36" t="s">
        <v>535</v>
      </c>
      <c r="B254" s="37" t="s">
        <v>536</v>
      </c>
      <c r="C254" s="37"/>
      <c r="D254" s="38">
        <f>D255+D258+D261</f>
        <v>7036.3790000000008</v>
      </c>
    </row>
    <row r="255" spans="1:4" ht="15.75" x14ac:dyDescent="0.25">
      <c r="A255" s="42" t="s">
        <v>537</v>
      </c>
      <c r="B255" s="43" t="s">
        <v>538</v>
      </c>
      <c r="C255" s="43"/>
      <c r="D255" s="44">
        <v>250</v>
      </c>
    </row>
    <row r="256" spans="1:4" ht="31.5" x14ac:dyDescent="0.25">
      <c r="A256" s="42" t="s">
        <v>539</v>
      </c>
      <c r="B256" s="43" t="s">
        <v>540</v>
      </c>
      <c r="C256" s="43"/>
      <c r="D256" s="44">
        <v>250</v>
      </c>
    </row>
    <row r="257" spans="1:4" ht="31.5" x14ac:dyDescent="0.25">
      <c r="A257" s="49" t="s">
        <v>446</v>
      </c>
      <c r="B257" s="43" t="s">
        <v>540</v>
      </c>
      <c r="C257" s="43" t="s">
        <v>447</v>
      </c>
      <c r="D257" s="44">
        <v>250</v>
      </c>
    </row>
    <row r="258" spans="1:4" ht="15.75" x14ac:dyDescent="0.25">
      <c r="A258" s="42" t="s">
        <v>541</v>
      </c>
      <c r="B258" s="43" t="s">
        <v>542</v>
      </c>
      <c r="C258" s="43"/>
      <c r="D258" s="44">
        <v>550</v>
      </c>
    </row>
    <row r="259" spans="1:4" ht="15.75" x14ac:dyDescent="0.25">
      <c r="A259" s="42" t="s">
        <v>543</v>
      </c>
      <c r="B259" s="43" t="s">
        <v>544</v>
      </c>
      <c r="C259" s="43"/>
      <c r="D259" s="44">
        <v>550</v>
      </c>
    </row>
    <row r="260" spans="1:4" ht="31.5" x14ac:dyDescent="0.25">
      <c r="A260" s="49" t="s">
        <v>446</v>
      </c>
      <c r="B260" s="43" t="s">
        <v>544</v>
      </c>
      <c r="C260" s="43" t="s">
        <v>447</v>
      </c>
      <c r="D260" s="44">
        <v>550</v>
      </c>
    </row>
    <row r="261" spans="1:4" ht="15.75" x14ac:dyDescent="0.25">
      <c r="A261" s="42" t="s">
        <v>545</v>
      </c>
      <c r="B261" s="43" t="s">
        <v>546</v>
      </c>
      <c r="C261" s="43"/>
      <c r="D261" s="44">
        <f>D262+D264+D266</f>
        <v>6236.3790000000008</v>
      </c>
    </row>
    <row r="262" spans="1:4" ht="31.5" x14ac:dyDescent="0.25">
      <c r="A262" s="42" t="s">
        <v>492</v>
      </c>
      <c r="B262" s="43" t="s">
        <v>547</v>
      </c>
      <c r="C262" s="43"/>
      <c r="D262" s="44">
        <v>1.024</v>
      </c>
    </row>
    <row r="263" spans="1:4" ht="31.5" x14ac:dyDescent="0.25">
      <c r="A263" s="49" t="s">
        <v>446</v>
      </c>
      <c r="B263" s="47" t="s">
        <v>547</v>
      </c>
      <c r="C263" s="43" t="s">
        <v>447</v>
      </c>
      <c r="D263" s="48">
        <v>1.024</v>
      </c>
    </row>
    <row r="264" spans="1:4" ht="15.75" x14ac:dyDescent="0.25">
      <c r="A264" s="42" t="s">
        <v>548</v>
      </c>
      <c r="B264" s="43" t="s">
        <v>549</v>
      </c>
      <c r="C264" s="43"/>
      <c r="D264" s="44">
        <f>D265</f>
        <v>5679.5660000000007</v>
      </c>
    </row>
    <row r="265" spans="1:4" ht="31.5" x14ac:dyDescent="0.25">
      <c r="A265" s="49" t="s">
        <v>446</v>
      </c>
      <c r="B265" s="43" t="s">
        <v>549</v>
      </c>
      <c r="C265" s="43" t="s">
        <v>447</v>
      </c>
      <c r="D265" s="44">
        <f>-110-949.931+7189.497-450</f>
        <v>5679.5660000000007</v>
      </c>
    </row>
    <row r="266" spans="1:4" ht="31.5" x14ac:dyDescent="0.25">
      <c r="A266" s="42" t="s">
        <v>478</v>
      </c>
      <c r="B266" s="43" t="s">
        <v>550</v>
      </c>
      <c r="C266" s="43"/>
      <c r="D266" s="44">
        <f>D267</f>
        <v>555.78899999999999</v>
      </c>
    </row>
    <row r="267" spans="1:4" ht="31.5" x14ac:dyDescent="0.25">
      <c r="A267" s="49" t="s">
        <v>446</v>
      </c>
      <c r="B267" s="47" t="s">
        <v>550</v>
      </c>
      <c r="C267" s="43" t="s">
        <v>447</v>
      </c>
      <c r="D267" s="48">
        <v>555.78899999999999</v>
      </c>
    </row>
    <row r="268" spans="1:4" ht="31.5" x14ac:dyDescent="0.25">
      <c r="A268" s="36" t="s">
        <v>394</v>
      </c>
      <c r="B268" s="37" t="s">
        <v>395</v>
      </c>
      <c r="C268" s="37"/>
      <c r="D268" s="38">
        <f>D269+D274+D277+D280+D287+D301+0.001</f>
        <v>113581.32400000001</v>
      </c>
    </row>
    <row r="269" spans="1:4" ht="15.75" x14ac:dyDescent="0.25">
      <c r="A269" s="42" t="s">
        <v>396</v>
      </c>
      <c r="B269" s="43" t="s">
        <v>397</v>
      </c>
      <c r="C269" s="43"/>
      <c r="D269" s="44">
        <f>10-10</f>
        <v>0</v>
      </c>
    </row>
    <row r="270" spans="1:4" ht="15.75" x14ac:dyDescent="0.25">
      <c r="A270" s="42" t="s">
        <v>398</v>
      </c>
      <c r="B270" s="43" t="s">
        <v>399</v>
      </c>
      <c r="C270" s="43"/>
      <c r="D270" s="44">
        <f>D271</f>
        <v>0</v>
      </c>
    </row>
    <row r="271" spans="1:4" ht="15.75" x14ac:dyDescent="0.25">
      <c r="A271" s="49" t="s">
        <v>297</v>
      </c>
      <c r="B271" s="43" t="s">
        <v>399</v>
      </c>
      <c r="C271" s="43" t="s">
        <v>298</v>
      </c>
      <c r="D271" s="44">
        <f>5-5</f>
        <v>0</v>
      </c>
    </row>
    <row r="272" spans="1:4" ht="15.75" x14ac:dyDescent="0.25">
      <c r="A272" s="42" t="s">
        <v>400</v>
      </c>
      <c r="B272" s="43" t="s">
        <v>401</v>
      </c>
      <c r="C272" s="43"/>
      <c r="D272" s="44">
        <f>D273</f>
        <v>0</v>
      </c>
    </row>
    <row r="273" spans="1:4" ht="15.75" x14ac:dyDescent="0.25">
      <c r="A273" s="49" t="s">
        <v>297</v>
      </c>
      <c r="B273" s="43" t="s">
        <v>401</v>
      </c>
      <c r="C273" s="43" t="s">
        <v>298</v>
      </c>
      <c r="D273" s="44">
        <f>5-5</f>
        <v>0</v>
      </c>
    </row>
    <row r="274" spans="1:4" ht="15.75" x14ac:dyDescent="0.25">
      <c r="A274" s="42" t="s">
        <v>402</v>
      </c>
      <c r="B274" s="43" t="s">
        <v>403</v>
      </c>
      <c r="C274" s="43"/>
      <c r="D274" s="44">
        <f>D275</f>
        <v>0</v>
      </c>
    </row>
    <row r="275" spans="1:4" ht="15.75" x14ac:dyDescent="0.25">
      <c r="A275" s="42" t="s">
        <v>404</v>
      </c>
      <c r="B275" s="43" t="s">
        <v>405</v>
      </c>
      <c r="C275" s="43"/>
      <c r="D275" s="44">
        <f>D276</f>
        <v>0</v>
      </c>
    </row>
    <row r="276" spans="1:4" ht="15.75" x14ac:dyDescent="0.25">
      <c r="A276" s="49" t="s">
        <v>297</v>
      </c>
      <c r="B276" s="43" t="s">
        <v>405</v>
      </c>
      <c r="C276" s="43" t="s">
        <v>298</v>
      </c>
      <c r="D276" s="44">
        <f>10-10</f>
        <v>0</v>
      </c>
    </row>
    <row r="277" spans="1:4" ht="15.75" x14ac:dyDescent="0.25">
      <c r="A277" s="42" t="s">
        <v>406</v>
      </c>
      <c r="B277" s="43" t="s">
        <v>407</v>
      </c>
      <c r="C277" s="43"/>
      <c r="D277" s="44">
        <f>D278</f>
        <v>0</v>
      </c>
    </row>
    <row r="278" spans="1:4" ht="31.5" x14ac:dyDescent="0.25">
      <c r="A278" s="42" t="s">
        <v>408</v>
      </c>
      <c r="B278" s="43" t="s">
        <v>409</v>
      </c>
      <c r="C278" s="43"/>
      <c r="D278" s="44">
        <f>D279</f>
        <v>0</v>
      </c>
    </row>
    <row r="279" spans="1:4" ht="15.75" x14ac:dyDescent="0.25">
      <c r="A279" s="49" t="s">
        <v>297</v>
      </c>
      <c r="B279" s="43" t="s">
        <v>409</v>
      </c>
      <c r="C279" s="43" t="s">
        <v>298</v>
      </c>
      <c r="D279" s="44">
        <f>20-20</f>
        <v>0</v>
      </c>
    </row>
    <row r="280" spans="1:4" ht="15.75" x14ac:dyDescent="0.25">
      <c r="A280" s="42" t="s">
        <v>575</v>
      </c>
      <c r="B280" s="43" t="s">
        <v>576</v>
      </c>
      <c r="C280" s="43"/>
      <c r="D280" s="44">
        <f>D281+D283</f>
        <v>6117.3850000000002</v>
      </c>
    </row>
    <row r="281" spans="1:4" ht="47.25" x14ac:dyDescent="0.25">
      <c r="A281" s="42" t="s">
        <v>577</v>
      </c>
      <c r="B281" s="43" t="s">
        <v>578</v>
      </c>
      <c r="C281" s="43"/>
      <c r="D281" s="44">
        <v>203.37200000000001</v>
      </c>
    </row>
    <row r="282" spans="1:4" ht="15.75" x14ac:dyDescent="0.25">
      <c r="A282" s="49" t="s">
        <v>297</v>
      </c>
      <c r="B282" s="47" t="s">
        <v>578</v>
      </c>
      <c r="C282" s="43" t="s">
        <v>298</v>
      </c>
      <c r="D282" s="48">
        <v>203.37200000000001</v>
      </c>
    </row>
    <row r="283" spans="1:4" ht="15.75" x14ac:dyDescent="0.25">
      <c r="A283" s="42" t="s">
        <v>579</v>
      </c>
      <c r="B283" s="43" t="s">
        <v>580</v>
      </c>
      <c r="C283" s="43"/>
      <c r="D283" s="44">
        <f>D284+D285+D286</f>
        <v>5914.0129999999999</v>
      </c>
    </row>
    <row r="284" spans="1:4" ht="47.25" x14ac:dyDescent="0.25">
      <c r="A284" s="42" t="s">
        <v>293</v>
      </c>
      <c r="B284" s="43" t="s">
        <v>580</v>
      </c>
      <c r="C284" s="43" t="s">
        <v>294</v>
      </c>
      <c r="D284" s="44">
        <f>4820.022+203.88+469.001-3.463-20</f>
        <v>5469.4400000000005</v>
      </c>
    </row>
    <row r="285" spans="1:4" ht="15.75" x14ac:dyDescent="0.25">
      <c r="A285" s="49" t="s">
        <v>297</v>
      </c>
      <c r="B285" s="47" t="s">
        <v>580</v>
      </c>
      <c r="C285" s="47" t="s">
        <v>298</v>
      </c>
      <c r="D285" s="48">
        <f>348-8.8-2.258-6.3-20.241-11.13</f>
        <v>299.27100000000002</v>
      </c>
    </row>
    <row r="286" spans="1:4" ht="15.75" x14ac:dyDescent="0.25">
      <c r="A286" s="49" t="s">
        <v>644</v>
      </c>
      <c r="B286" s="47" t="s">
        <v>580</v>
      </c>
      <c r="C286" s="43" t="s">
        <v>316</v>
      </c>
      <c r="D286" s="48">
        <f>146.302-1</f>
        <v>145.30199999999999</v>
      </c>
    </row>
    <row r="287" spans="1:4" ht="15.75" x14ac:dyDescent="0.25">
      <c r="A287" s="42" t="s">
        <v>660</v>
      </c>
      <c r="B287" s="43" t="s">
        <v>661</v>
      </c>
      <c r="C287" s="43"/>
      <c r="D287" s="44">
        <f>D288+D291+D293+D297+D299</f>
        <v>68329.69200000001</v>
      </c>
    </row>
    <row r="288" spans="1:4" ht="31.5" x14ac:dyDescent="0.25">
      <c r="A288" s="42" t="s">
        <v>662</v>
      </c>
      <c r="B288" s="43" t="s">
        <v>663</v>
      </c>
      <c r="C288" s="43"/>
      <c r="D288" s="44">
        <v>595.9</v>
      </c>
    </row>
    <row r="289" spans="1:4" ht="31.5" x14ac:dyDescent="0.25">
      <c r="A289" s="42" t="s">
        <v>662</v>
      </c>
      <c r="B289" s="43" t="s">
        <v>664</v>
      </c>
      <c r="C289" s="43"/>
      <c r="D289" s="44">
        <v>595.9</v>
      </c>
    </row>
    <row r="290" spans="1:4" ht="15.75" x14ac:dyDescent="0.25">
      <c r="A290" s="46" t="s">
        <v>321</v>
      </c>
      <c r="B290" s="47" t="s">
        <v>664</v>
      </c>
      <c r="C290" s="43" t="s">
        <v>322</v>
      </c>
      <c r="D290" s="48">
        <v>595.9</v>
      </c>
    </row>
    <row r="291" spans="1:4" ht="15.75" x14ac:dyDescent="0.25">
      <c r="A291" s="42" t="s">
        <v>665</v>
      </c>
      <c r="B291" s="43" t="s">
        <v>666</v>
      </c>
      <c r="C291" s="43"/>
      <c r="D291" s="44">
        <f>D292</f>
        <v>46274.904000000002</v>
      </c>
    </row>
    <row r="292" spans="1:4" ht="15.75" x14ac:dyDescent="0.25">
      <c r="A292" s="46" t="s">
        <v>321</v>
      </c>
      <c r="B292" s="43" t="s">
        <v>666</v>
      </c>
      <c r="C292" s="43" t="s">
        <v>322</v>
      </c>
      <c r="D292" s="44">
        <f>8966.3+29646.688+1216.334+1600+700.5+315+335.75+200.567+2071.195+1222.57</f>
        <v>46274.904000000002</v>
      </c>
    </row>
    <row r="293" spans="1:4" ht="15.75" x14ac:dyDescent="0.25">
      <c r="A293" s="42" t="s">
        <v>667</v>
      </c>
      <c r="B293" s="43" t="s">
        <v>668</v>
      </c>
      <c r="C293" s="43"/>
      <c r="D293" s="44">
        <f>D294+D295+D296</f>
        <v>13762.875</v>
      </c>
    </row>
    <row r="294" spans="1:4" ht="47.25" x14ac:dyDescent="0.25">
      <c r="A294" s="42" t="s">
        <v>293</v>
      </c>
      <c r="B294" s="43" t="s">
        <v>668</v>
      </c>
      <c r="C294" s="43" t="s">
        <v>294</v>
      </c>
      <c r="D294" s="44">
        <f>11245.363+741.275+1286.815-35.15-20.3</f>
        <v>13218.003000000001</v>
      </c>
    </row>
    <row r="295" spans="1:4" ht="15.75" x14ac:dyDescent="0.25">
      <c r="A295" s="49" t="s">
        <v>297</v>
      </c>
      <c r="B295" s="47" t="s">
        <v>668</v>
      </c>
      <c r="C295" s="43" t="s">
        <v>298</v>
      </c>
      <c r="D295" s="48">
        <f>551.342-4.7-3</f>
        <v>543.64199999999994</v>
      </c>
    </row>
    <row r="296" spans="1:4" ht="15.75" x14ac:dyDescent="0.25">
      <c r="A296" s="49" t="s">
        <v>644</v>
      </c>
      <c r="B296" s="47" t="s">
        <v>668</v>
      </c>
      <c r="C296" s="43" t="s">
        <v>316</v>
      </c>
      <c r="D296" s="48">
        <f>-1+2.23</f>
        <v>1.23</v>
      </c>
    </row>
    <row r="297" spans="1:4" ht="31.5" x14ac:dyDescent="0.25">
      <c r="A297" s="42" t="s">
        <v>295</v>
      </c>
      <c r="B297" s="43" t="s">
        <v>669</v>
      </c>
      <c r="C297" s="43"/>
      <c r="D297" s="44">
        <v>19.013000000000002</v>
      </c>
    </row>
    <row r="298" spans="1:4" ht="15.75" x14ac:dyDescent="0.25">
      <c r="A298" s="49" t="s">
        <v>297</v>
      </c>
      <c r="B298" s="47" t="s">
        <v>669</v>
      </c>
      <c r="C298" s="43" t="s">
        <v>298</v>
      </c>
      <c r="D298" s="48">
        <v>19.013000000000002</v>
      </c>
    </row>
    <row r="299" spans="1:4" ht="15.75" x14ac:dyDescent="0.25">
      <c r="A299" s="42" t="s">
        <v>670</v>
      </c>
      <c r="B299" s="43" t="s">
        <v>671</v>
      </c>
      <c r="C299" s="43"/>
      <c r="D299" s="44">
        <v>7677</v>
      </c>
    </row>
    <row r="300" spans="1:4" ht="15.75" x14ac:dyDescent="0.25">
      <c r="A300" s="46" t="s">
        <v>321</v>
      </c>
      <c r="B300" s="43" t="s">
        <v>671</v>
      </c>
      <c r="C300" s="43" t="s">
        <v>322</v>
      </c>
      <c r="D300" s="44">
        <v>7677</v>
      </c>
    </row>
    <row r="301" spans="1:4" ht="15.75" x14ac:dyDescent="0.25">
      <c r="A301" s="42" t="s">
        <v>410</v>
      </c>
      <c r="B301" s="43" t="s">
        <v>411</v>
      </c>
      <c r="C301" s="43"/>
      <c r="D301" s="44">
        <f>D302</f>
        <v>39134.245999999999</v>
      </c>
    </row>
    <row r="302" spans="1:4" ht="15.75" x14ac:dyDescent="0.25">
      <c r="A302" s="42" t="s">
        <v>412</v>
      </c>
      <c r="B302" s="43" t="s">
        <v>413</v>
      </c>
      <c r="C302" s="43"/>
      <c r="D302" s="44">
        <f>D303+D304+D305</f>
        <v>39134.245999999999</v>
      </c>
    </row>
    <row r="303" spans="1:4" ht="47.25" x14ac:dyDescent="0.25">
      <c r="A303" s="42" t="s">
        <v>293</v>
      </c>
      <c r="B303" s="43" t="s">
        <v>413</v>
      </c>
      <c r="C303" s="43" t="s">
        <v>294</v>
      </c>
      <c r="D303" s="44">
        <f>29973.394+1164.117-4.3+2469.865+745.899-2.2-36.217-9.25-78.12</f>
        <v>34223.188000000002</v>
      </c>
    </row>
    <row r="304" spans="1:4" ht="15.75" x14ac:dyDescent="0.25">
      <c r="A304" s="49" t="s">
        <v>297</v>
      </c>
      <c r="B304" s="47" t="s">
        <v>413</v>
      </c>
      <c r="C304" s="43" t="s">
        <v>298</v>
      </c>
      <c r="D304" s="48">
        <f>5768.5-46.033-50-550-99.673-5.425-29.311-20-163</f>
        <v>4805.058</v>
      </c>
    </row>
    <row r="305" spans="1:4" ht="15.75" x14ac:dyDescent="0.25">
      <c r="A305" s="49" t="s">
        <v>644</v>
      </c>
      <c r="B305" s="47" t="s">
        <v>413</v>
      </c>
      <c r="C305" s="43" t="s">
        <v>316</v>
      </c>
      <c r="D305" s="48">
        <f>146-40</f>
        <v>106</v>
      </c>
    </row>
    <row r="306" spans="1:4" ht="31.5" x14ac:dyDescent="0.25">
      <c r="A306" s="36" t="s">
        <v>414</v>
      </c>
      <c r="B306" s="37" t="s">
        <v>415</v>
      </c>
      <c r="C306" s="37"/>
      <c r="D306" s="38">
        <f>D307+D310+D313+D322+D331</f>
        <v>18621.062000000002</v>
      </c>
    </row>
    <row r="307" spans="1:4" ht="15.75" x14ac:dyDescent="0.25">
      <c r="A307" s="42" t="s">
        <v>646</v>
      </c>
      <c r="B307" s="43" t="s">
        <v>647</v>
      </c>
      <c r="C307" s="43"/>
      <c r="D307" s="44">
        <f>D308</f>
        <v>2396</v>
      </c>
    </row>
    <row r="308" spans="1:4" ht="47.25" x14ac:dyDescent="0.25">
      <c r="A308" s="42" t="s">
        <v>648</v>
      </c>
      <c r="B308" s="43" t="s">
        <v>649</v>
      </c>
      <c r="C308" s="43"/>
      <c r="D308" s="44">
        <f>D309</f>
        <v>2396</v>
      </c>
    </row>
    <row r="309" spans="1:4" ht="15.75" x14ac:dyDescent="0.25">
      <c r="A309" s="49" t="s">
        <v>374</v>
      </c>
      <c r="B309" s="47" t="s">
        <v>649</v>
      </c>
      <c r="C309" s="43" t="s">
        <v>375</v>
      </c>
      <c r="D309" s="48">
        <f>2387+9</f>
        <v>2396</v>
      </c>
    </row>
    <row r="310" spans="1:4" ht="15.75" x14ac:dyDescent="0.25">
      <c r="A310" s="42" t="s">
        <v>650</v>
      </c>
      <c r="B310" s="43" t="s">
        <v>651</v>
      </c>
      <c r="C310" s="43"/>
      <c r="D310" s="44">
        <v>155</v>
      </c>
    </row>
    <row r="311" spans="1:4" ht="15.75" x14ac:dyDescent="0.25">
      <c r="A311" s="42" t="s">
        <v>652</v>
      </c>
      <c r="B311" s="43" t="s">
        <v>653</v>
      </c>
      <c r="C311" s="43"/>
      <c r="D311" s="44">
        <v>155</v>
      </c>
    </row>
    <row r="312" spans="1:4" ht="31.5" x14ac:dyDescent="0.25">
      <c r="A312" s="49" t="s">
        <v>446</v>
      </c>
      <c r="B312" s="43" t="s">
        <v>653</v>
      </c>
      <c r="C312" s="43" t="s">
        <v>447</v>
      </c>
      <c r="D312" s="44">
        <v>155</v>
      </c>
    </row>
    <row r="313" spans="1:4" ht="15.75" x14ac:dyDescent="0.25">
      <c r="A313" s="42" t="s">
        <v>416</v>
      </c>
      <c r="B313" s="43" t="s">
        <v>417</v>
      </c>
      <c r="C313" s="43"/>
      <c r="D313" s="44">
        <f>D314+D318+D320</f>
        <v>9843.9380000000001</v>
      </c>
    </row>
    <row r="314" spans="1:4" ht="15.75" x14ac:dyDescent="0.25">
      <c r="A314" s="42" t="s">
        <v>715</v>
      </c>
      <c r="B314" s="43" t="s">
        <v>716</v>
      </c>
      <c r="C314" s="43"/>
      <c r="D314" s="44">
        <f>D315</f>
        <v>414.96100000000001</v>
      </c>
    </row>
    <row r="315" spans="1:4" ht="31.5" x14ac:dyDescent="0.25">
      <c r="A315" s="42" t="s">
        <v>418</v>
      </c>
      <c r="B315" s="43" t="s">
        <v>419</v>
      </c>
      <c r="C315" s="43"/>
      <c r="D315" s="44">
        <f>D316+D317</f>
        <v>414.96100000000001</v>
      </c>
    </row>
    <row r="316" spans="1:4" ht="47.25" x14ac:dyDescent="0.25">
      <c r="A316" s="42" t="s">
        <v>293</v>
      </c>
      <c r="B316" s="47" t="s">
        <v>419</v>
      </c>
      <c r="C316" s="43" t="s">
        <v>294</v>
      </c>
      <c r="D316" s="44">
        <v>55.284999999999997</v>
      </c>
    </row>
    <row r="317" spans="1:4" ht="15.75" x14ac:dyDescent="0.25">
      <c r="A317" s="49" t="s">
        <v>297</v>
      </c>
      <c r="B317" s="47" t="s">
        <v>419</v>
      </c>
      <c r="C317" s="43" t="s">
        <v>298</v>
      </c>
      <c r="D317" s="48">
        <f>411.254-55.285+3.746-0.039</f>
        <v>359.67600000000004</v>
      </c>
    </row>
    <row r="318" spans="1:4" ht="15.75" x14ac:dyDescent="0.25">
      <c r="A318" s="42" t="s">
        <v>420</v>
      </c>
      <c r="B318" s="43" t="s">
        <v>421</v>
      </c>
      <c r="C318" s="43"/>
      <c r="D318" s="44">
        <v>3</v>
      </c>
    </row>
    <row r="319" spans="1:4" ht="15.75" x14ac:dyDescent="0.25">
      <c r="A319" s="49" t="s">
        <v>297</v>
      </c>
      <c r="B319" s="43" t="s">
        <v>421</v>
      </c>
      <c r="C319" s="43" t="s">
        <v>298</v>
      </c>
      <c r="D319" s="44">
        <v>3</v>
      </c>
    </row>
    <row r="320" spans="1:4" ht="31.5" x14ac:dyDescent="0.25">
      <c r="A320" s="42" t="s">
        <v>654</v>
      </c>
      <c r="B320" s="43" t="s">
        <v>655</v>
      </c>
      <c r="C320" s="43"/>
      <c r="D320" s="44">
        <v>9425.9770000000008</v>
      </c>
    </row>
    <row r="321" spans="1:4" ht="31.5" x14ac:dyDescent="0.25">
      <c r="A321" s="49" t="s">
        <v>446</v>
      </c>
      <c r="B321" s="47" t="s">
        <v>655</v>
      </c>
      <c r="C321" s="43" t="s">
        <v>447</v>
      </c>
      <c r="D321" s="48">
        <v>9425.9770000000008</v>
      </c>
    </row>
    <row r="322" spans="1:4" ht="15.75" x14ac:dyDescent="0.25">
      <c r="A322" s="42" t="s">
        <v>422</v>
      </c>
      <c r="B322" s="43" t="s">
        <v>423</v>
      </c>
      <c r="C322" s="43"/>
      <c r="D322" s="44">
        <f>D323+D325+D327+D329</f>
        <v>6212.1970000000001</v>
      </c>
    </row>
    <row r="323" spans="1:4" ht="31.5" x14ac:dyDescent="0.25">
      <c r="A323" s="42" t="s">
        <v>424</v>
      </c>
      <c r="B323" s="43" t="s">
        <v>425</v>
      </c>
      <c r="C323" s="43"/>
      <c r="D323" s="44">
        <f>D324</f>
        <v>30</v>
      </c>
    </row>
    <row r="324" spans="1:4" ht="15.75" x14ac:dyDescent="0.25">
      <c r="A324" s="49" t="s">
        <v>297</v>
      </c>
      <c r="B324" s="43" t="s">
        <v>425</v>
      </c>
      <c r="C324" s="43" t="s">
        <v>298</v>
      </c>
      <c r="D324" s="44">
        <v>30</v>
      </c>
    </row>
    <row r="325" spans="1:4" ht="15.75" x14ac:dyDescent="0.25">
      <c r="A325" s="42" t="s">
        <v>426</v>
      </c>
      <c r="B325" s="43" t="s">
        <v>427</v>
      </c>
      <c r="C325" s="43"/>
      <c r="D325" s="44">
        <f>D326</f>
        <v>299.42</v>
      </c>
    </row>
    <row r="326" spans="1:4" ht="15.75" x14ac:dyDescent="0.25">
      <c r="A326" s="46" t="s">
        <v>321</v>
      </c>
      <c r="B326" s="47" t="s">
        <v>427</v>
      </c>
      <c r="C326" s="43" t="s">
        <v>322</v>
      </c>
      <c r="D326" s="48">
        <f>300-0.58</f>
        <v>299.42</v>
      </c>
    </row>
    <row r="327" spans="1:4" ht="31.5" x14ac:dyDescent="0.25">
      <c r="A327" s="42" t="s">
        <v>428</v>
      </c>
      <c r="B327" s="43" t="s">
        <v>429</v>
      </c>
      <c r="C327" s="43"/>
      <c r="D327" s="44">
        <f>D328</f>
        <v>898.62400000000002</v>
      </c>
    </row>
    <row r="328" spans="1:4" ht="15.75" x14ac:dyDescent="0.25">
      <c r="A328" s="46" t="s">
        <v>321</v>
      </c>
      <c r="B328" s="47" t="s">
        <v>429</v>
      </c>
      <c r="C328" s="43" t="s">
        <v>322</v>
      </c>
      <c r="D328" s="48">
        <f>900-1.376</f>
        <v>898.62400000000002</v>
      </c>
    </row>
    <row r="329" spans="1:4" ht="31.5" x14ac:dyDescent="0.25">
      <c r="A329" s="42" t="s">
        <v>492</v>
      </c>
      <c r="B329" s="43" t="s">
        <v>551</v>
      </c>
      <c r="C329" s="43"/>
      <c r="D329" s="44">
        <f>D330</f>
        <v>4984.1530000000002</v>
      </c>
    </row>
    <row r="330" spans="1:4" ht="31.5" x14ac:dyDescent="0.25">
      <c r="A330" s="49" t="s">
        <v>446</v>
      </c>
      <c r="B330" s="47" t="s">
        <v>551</v>
      </c>
      <c r="C330" s="43" t="s">
        <v>447</v>
      </c>
      <c r="D330" s="48">
        <f>4984.153</f>
        <v>4984.1530000000002</v>
      </c>
    </row>
    <row r="331" spans="1:4" ht="15.75" x14ac:dyDescent="0.25">
      <c r="A331" s="42" t="s">
        <v>430</v>
      </c>
      <c r="B331" s="43" t="s">
        <v>431</v>
      </c>
      <c r="C331" s="43"/>
      <c r="D331" s="44">
        <f>D332+D334</f>
        <v>13.927</v>
      </c>
    </row>
    <row r="332" spans="1:4" ht="15.75" x14ac:dyDescent="0.25">
      <c r="A332" s="42" t="s">
        <v>432</v>
      </c>
      <c r="B332" s="43" t="s">
        <v>433</v>
      </c>
      <c r="C332" s="43"/>
      <c r="D332" s="44">
        <f>D333</f>
        <v>0.5</v>
      </c>
    </row>
    <row r="333" spans="1:4" ht="15.75" x14ac:dyDescent="0.25">
      <c r="A333" s="46" t="s">
        <v>321</v>
      </c>
      <c r="B333" s="43" t="s">
        <v>433</v>
      </c>
      <c r="C333" s="43" t="s">
        <v>322</v>
      </c>
      <c r="D333" s="44">
        <v>0.5</v>
      </c>
    </row>
    <row r="334" spans="1:4" ht="15.75" x14ac:dyDescent="0.25">
      <c r="A334" s="42" t="s">
        <v>434</v>
      </c>
      <c r="B334" s="43" t="s">
        <v>435</v>
      </c>
      <c r="C334" s="43"/>
      <c r="D334" s="44">
        <f>D335</f>
        <v>13.427</v>
      </c>
    </row>
    <row r="335" spans="1:4" ht="15.75" x14ac:dyDescent="0.25">
      <c r="A335" s="46" t="s">
        <v>321</v>
      </c>
      <c r="B335" s="43" t="s">
        <v>435</v>
      </c>
      <c r="C335" s="43" t="s">
        <v>322</v>
      </c>
      <c r="D335" s="44">
        <f>31-17.573</f>
        <v>13.427</v>
      </c>
    </row>
    <row r="336" spans="1:4" ht="15.75" x14ac:dyDescent="0.25">
      <c r="A336" s="36" t="s">
        <v>436</v>
      </c>
      <c r="B336" s="37" t="s">
        <v>437</v>
      </c>
      <c r="C336" s="37"/>
      <c r="D336" s="38">
        <f>D337</f>
        <v>498</v>
      </c>
    </row>
    <row r="337" spans="1:4" ht="31.5" x14ac:dyDescent="0.25">
      <c r="A337" s="42" t="s">
        <v>438</v>
      </c>
      <c r="B337" s="43" t="s">
        <v>439</v>
      </c>
      <c r="C337" s="43"/>
      <c r="D337" s="44">
        <f>D338+D340+D342+D344</f>
        <v>498</v>
      </c>
    </row>
    <row r="338" spans="1:4" ht="31.5" x14ac:dyDescent="0.25">
      <c r="A338" s="42" t="s">
        <v>440</v>
      </c>
      <c r="B338" s="43" t="s">
        <v>441</v>
      </c>
      <c r="C338" s="43"/>
      <c r="D338" s="44">
        <f>D339</f>
        <v>3</v>
      </c>
    </row>
    <row r="339" spans="1:4" ht="15.75" x14ac:dyDescent="0.25">
      <c r="A339" s="49" t="s">
        <v>374</v>
      </c>
      <c r="B339" s="43" t="s">
        <v>441</v>
      </c>
      <c r="C339" s="43" t="s">
        <v>375</v>
      </c>
      <c r="D339" s="44">
        <f>-30+40-7</f>
        <v>3</v>
      </c>
    </row>
    <row r="340" spans="1:4" ht="15.75" x14ac:dyDescent="0.25">
      <c r="A340" s="42" t="s">
        <v>442</v>
      </c>
      <c r="B340" s="43" t="s">
        <v>443</v>
      </c>
      <c r="C340" s="43"/>
      <c r="D340" s="44">
        <f>D341</f>
        <v>0</v>
      </c>
    </row>
    <row r="341" spans="1:4" ht="15.75" x14ac:dyDescent="0.25">
      <c r="A341" s="49" t="s">
        <v>297</v>
      </c>
      <c r="B341" s="43" t="s">
        <v>443</v>
      </c>
      <c r="C341" s="43" t="s">
        <v>298</v>
      </c>
      <c r="D341" s="44">
        <v>0</v>
      </c>
    </row>
    <row r="342" spans="1:4" ht="15.75" x14ac:dyDescent="0.25">
      <c r="A342" s="42" t="s">
        <v>444</v>
      </c>
      <c r="B342" s="43" t="s">
        <v>445</v>
      </c>
      <c r="C342" s="43"/>
      <c r="D342" s="44">
        <f>D343</f>
        <v>425</v>
      </c>
    </row>
    <row r="343" spans="1:4" ht="31.5" x14ac:dyDescent="0.25">
      <c r="A343" s="49" t="s">
        <v>446</v>
      </c>
      <c r="B343" s="43" t="s">
        <v>445</v>
      </c>
      <c r="C343" s="43" t="s">
        <v>447</v>
      </c>
      <c r="D343" s="44">
        <f>470-45</f>
        <v>425</v>
      </c>
    </row>
    <row r="344" spans="1:4" ht="15.75" x14ac:dyDescent="0.25">
      <c r="A344" s="42" t="s">
        <v>448</v>
      </c>
      <c r="B344" s="43" t="s">
        <v>449</v>
      </c>
      <c r="C344" s="43"/>
      <c r="D344" s="44">
        <v>70</v>
      </c>
    </row>
    <row r="345" spans="1:4" ht="31.5" x14ac:dyDescent="0.25">
      <c r="A345" s="49" t="s">
        <v>446</v>
      </c>
      <c r="B345" s="43" t="s">
        <v>449</v>
      </c>
      <c r="C345" s="43" t="s">
        <v>447</v>
      </c>
      <c r="D345" s="44">
        <v>70</v>
      </c>
    </row>
    <row r="346" spans="1:4" ht="15.75" x14ac:dyDescent="0.25">
      <c r="A346" s="36" t="s">
        <v>287</v>
      </c>
      <c r="B346" s="37" t="s">
        <v>288</v>
      </c>
      <c r="C346" s="37"/>
      <c r="D346" s="38">
        <f>D347</f>
        <v>33044.099849999999</v>
      </c>
    </row>
    <row r="347" spans="1:4" ht="15.75" x14ac:dyDescent="0.25">
      <c r="A347" s="42" t="s">
        <v>289</v>
      </c>
      <c r="B347" s="43" t="s">
        <v>290</v>
      </c>
      <c r="C347" s="43"/>
      <c r="D347" s="44">
        <f>D348+D351+D353+D355+D357+D359+D361+D363+D366+D369+D372+D375+D377+D379+D383+D385+D388+D390</f>
        <v>33044.099849999999</v>
      </c>
    </row>
    <row r="348" spans="1:4" ht="31.5" x14ac:dyDescent="0.25">
      <c r="A348" s="42" t="s">
        <v>450</v>
      </c>
      <c r="B348" s="43" t="s">
        <v>451</v>
      </c>
      <c r="C348" s="43"/>
      <c r="D348" s="44">
        <f>D349+D350</f>
        <v>3276.27</v>
      </c>
    </row>
    <row r="349" spans="1:4" ht="47.25" x14ac:dyDescent="0.25">
      <c r="A349" s="42" t="s">
        <v>293</v>
      </c>
      <c r="B349" s="47" t="s">
        <v>451</v>
      </c>
      <c r="C349" s="43" t="s">
        <v>294</v>
      </c>
      <c r="D349" s="48">
        <f>56.462+856.217+2315.171+4.3-34+78.12</f>
        <v>3276.27</v>
      </c>
    </row>
    <row r="350" spans="1:4" ht="15.75" x14ac:dyDescent="0.25">
      <c r="A350" s="49" t="s">
        <v>297</v>
      </c>
      <c r="B350" s="47" t="s">
        <v>451</v>
      </c>
      <c r="C350" s="43" t="s">
        <v>298</v>
      </c>
      <c r="D350" s="48">
        <v>0</v>
      </c>
    </row>
    <row r="351" spans="1:4" ht="15.75" x14ac:dyDescent="0.25">
      <c r="A351" s="42" t="s">
        <v>291</v>
      </c>
      <c r="B351" s="43" t="s">
        <v>292</v>
      </c>
      <c r="C351" s="43"/>
      <c r="D351" s="44">
        <f>D352</f>
        <v>955.25800000000004</v>
      </c>
    </row>
    <row r="352" spans="1:4" ht="47.25" x14ac:dyDescent="0.25">
      <c r="A352" s="42" t="s">
        <v>293</v>
      </c>
      <c r="B352" s="47" t="s">
        <v>292</v>
      </c>
      <c r="C352" s="43" t="s">
        <v>294</v>
      </c>
      <c r="D352" s="48">
        <f>76.623+840.12+38.515</f>
        <v>955.25800000000004</v>
      </c>
    </row>
    <row r="353" spans="1:4" ht="15.75" x14ac:dyDescent="0.25">
      <c r="A353" s="42" t="s">
        <v>452</v>
      </c>
      <c r="B353" s="43" t="s">
        <v>453</v>
      </c>
      <c r="C353" s="43"/>
      <c r="D353" s="44">
        <f>D354</f>
        <v>1578.13185</v>
      </c>
    </row>
    <row r="354" spans="1:4" ht="15.75" x14ac:dyDescent="0.25">
      <c r="A354" s="49" t="s">
        <v>644</v>
      </c>
      <c r="B354" s="47" t="s">
        <v>453</v>
      </c>
      <c r="C354" s="43" t="s">
        <v>316</v>
      </c>
      <c r="D354" s="48">
        <f>-0.04115+1578.173</f>
        <v>1578.13185</v>
      </c>
    </row>
    <row r="355" spans="1:4" ht="31.5" x14ac:dyDescent="0.25">
      <c r="A355" s="42" t="s">
        <v>672</v>
      </c>
      <c r="B355" s="43" t="s">
        <v>673</v>
      </c>
      <c r="C355" s="43"/>
      <c r="D355" s="44">
        <v>1281.9000000000001</v>
      </c>
    </row>
    <row r="356" spans="1:4" ht="15.75" x14ac:dyDescent="0.25">
      <c r="A356" s="46" t="s">
        <v>321</v>
      </c>
      <c r="B356" s="47" t="s">
        <v>673</v>
      </c>
      <c r="C356" s="43" t="s">
        <v>322</v>
      </c>
      <c r="D356" s="48">
        <v>1281.9000000000001</v>
      </c>
    </row>
    <row r="357" spans="1:4" ht="31.5" x14ac:dyDescent="0.25">
      <c r="A357" s="42" t="s">
        <v>454</v>
      </c>
      <c r="B357" s="43" t="s">
        <v>455</v>
      </c>
      <c r="C357" s="43"/>
      <c r="D357" s="44">
        <v>12.3</v>
      </c>
    </row>
    <row r="358" spans="1:4" ht="15.75" x14ac:dyDescent="0.25">
      <c r="A358" s="49" t="s">
        <v>297</v>
      </c>
      <c r="B358" s="47" t="s">
        <v>455</v>
      </c>
      <c r="C358" s="43" t="s">
        <v>298</v>
      </c>
      <c r="D358" s="48">
        <v>12.3</v>
      </c>
    </row>
    <row r="359" spans="1:4" ht="31.5" x14ac:dyDescent="0.25">
      <c r="A359" s="42" t="s">
        <v>674</v>
      </c>
      <c r="B359" s="43" t="s">
        <v>675</v>
      </c>
      <c r="C359" s="43"/>
      <c r="D359" s="44">
        <v>49.5</v>
      </c>
    </row>
    <row r="360" spans="1:4" ht="15.75" x14ac:dyDescent="0.25">
      <c r="A360" s="46" t="s">
        <v>321</v>
      </c>
      <c r="B360" s="47" t="s">
        <v>675</v>
      </c>
      <c r="C360" s="43" t="s">
        <v>322</v>
      </c>
      <c r="D360" s="48">
        <v>49.5</v>
      </c>
    </row>
    <row r="361" spans="1:4" ht="31.5" x14ac:dyDescent="0.25">
      <c r="A361" s="42" t="s">
        <v>295</v>
      </c>
      <c r="B361" s="43" t="s">
        <v>296</v>
      </c>
      <c r="C361" s="43"/>
      <c r="D361" s="44">
        <v>20.646000000000001</v>
      </c>
    </row>
    <row r="362" spans="1:4" ht="15.75" x14ac:dyDescent="0.25">
      <c r="A362" s="49" t="s">
        <v>297</v>
      </c>
      <c r="B362" s="47" t="s">
        <v>296</v>
      </c>
      <c r="C362" s="43" t="s">
        <v>298</v>
      </c>
      <c r="D362" s="48">
        <v>20.646000000000001</v>
      </c>
    </row>
    <row r="363" spans="1:4" ht="47.25" x14ac:dyDescent="0.25">
      <c r="A363" s="42" t="s">
        <v>456</v>
      </c>
      <c r="B363" s="43" t="s">
        <v>457</v>
      </c>
      <c r="C363" s="43"/>
      <c r="D363" s="44">
        <f>D364+D365</f>
        <v>55.8</v>
      </c>
    </row>
    <row r="364" spans="1:4" ht="47.25" x14ac:dyDescent="0.25">
      <c r="A364" s="42" t="s">
        <v>293</v>
      </c>
      <c r="B364" s="47" t="s">
        <v>457</v>
      </c>
      <c r="C364" s="43" t="s">
        <v>294</v>
      </c>
      <c r="D364" s="48">
        <f>11.1+31.126+0.8</f>
        <v>43.025999999999996</v>
      </c>
    </row>
    <row r="365" spans="1:4" ht="15.75" x14ac:dyDescent="0.25">
      <c r="A365" s="49" t="s">
        <v>297</v>
      </c>
      <c r="B365" s="47" t="s">
        <v>457</v>
      </c>
      <c r="C365" s="43" t="s">
        <v>298</v>
      </c>
      <c r="D365" s="48">
        <f>20.374-11.1+3.5</f>
        <v>12.773999999999999</v>
      </c>
    </row>
    <row r="366" spans="1:4" ht="47.25" x14ac:dyDescent="0.25">
      <c r="A366" s="45" t="s">
        <v>656</v>
      </c>
      <c r="B366" s="43" t="s">
        <v>657</v>
      </c>
      <c r="C366" s="43"/>
      <c r="D366" s="44">
        <f>D367+D368</f>
        <v>1737.9</v>
      </c>
    </row>
    <row r="367" spans="1:4" ht="47.25" x14ac:dyDescent="0.25">
      <c r="A367" s="42" t="s">
        <v>293</v>
      </c>
      <c r="B367" s="47" t="s">
        <v>657</v>
      </c>
      <c r="C367" s="43" t="s">
        <v>294</v>
      </c>
      <c r="D367" s="48">
        <f>1456.125+131.775+12</f>
        <v>1599.9</v>
      </c>
    </row>
    <row r="368" spans="1:4" ht="15.75" x14ac:dyDescent="0.25">
      <c r="A368" s="49" t="s">
        <v>297</v>
      </c>
      <c r="B368" s="47" t="s">
        <v>657</v>
      </c>
      <c r="C368" s="43" t="s">
        <v>298</v>
      </c>
      <c r="D368" s="48">
        <f>150-6.9-8.323-11.737+2.6+12.36</f>
        <v>138</v>
      </c>
    </row>
    <row r="369" spans="1:4" ht="47.25" x14ac:dyDescent="0.25">
      <c r="A369" s="42" t="s">
        <v>458</v>
      </c>
      <c r="B369" s="43" t="s">
        <v>459</v>
      </c>
      <c r="C369" s="43"/>
      <c r="D369" s="44">
        <f>D370+D371</f>
        <v>64.546000000000006</v>
      </c>
    </row>
    <row r="370" spans="1:4" ht="47.25" x14ac:dyDescent="0.25">
      <c r="A370" s="42" t="s">
        <v>293</v>
      </c>
      <c r="B370" s="47" t="s">
        <v>459</v>
      </c>
      <c r="C370" s="43" t="s">
        <v>294</v>
      </c>
      <c r="D370" s="48">
        <f>55.34+3.662</f>
        <v>59.002000000000002</v>
      </c>
    </row>
    <row r="371" spans="1:4" ht="15.75" x14ac:dyDescent="0.25">
      <c r="A371" s="49" t="s">
        <v>297</v>
      </c>
      <c r="B371" s="47" t="s">
        <v>459</v>
      </c>
      <c r="C371" s="43" t="s">
        <v>298</v>
      </c>
      <c r="D371" s="48">
        <f>5.498+0.046</f>
        <v>5.5440000000000005</v>
      </c>
    </row>
    <row r="372" spans="1:4" ht="94.5" x14ac:dyDescent="0.25">
      <c r="A372" s="45" t="s">
        <v>460</v>
      </c>
      <c r="B372" s="43" t="s">
        <v>461</v>
      </c>
      <c r="C372" s="43"/>
      <c r="D372" s="44">
        <f>D373+D374</f>
        <v>170.35900000000001</v>
      </c>
    </row>
    <row r="373" spans="1:4" ht="47.25" x14ac:dyDescent="0.25">
      <c r="A373" s="42" t="s">
        <v>293</v>
      </c>
      <c r="B373" s="47" t="s">
        <v>461</v>
      </c>
      <c r="C373" s="43" t="s">
        <v>294</v>
      </c>
      <c r="D373" s="48">
        <f>207.321-44.675</f>
        <v>162.64600000000002</v>
      </c>
    </row>
    <row r="374" spans="1:4" ht="15.75" x14ac:dyDescent="0.25">
      <c r="A374" s="49" t="s">
        <v>297</v>
      </c>
      <c r="B374" s="47" t="s">
        <v>461</v>
      </c>
      <c r="C374" s="43" t="s">
        <v>298</v>
      </c>
      <c r="D374" s="48">
        <f>7.754-0.041</f>
        <v>7.7129999999999992</v>
      </c>
    </row>
    <row r="375" spans="1:4" ht="63" x14ac:dyDescent="0.25">
      <c r="A375" s="45" t="s">
        <v>676</v>
      </c>
      <c r="B375" s="43" t="s">
        <v>677</v>
      </c>
      <c r="C375" s="43"/>
      <c r="D375" s="44">
        <v>2.5</v>
      </c>
    </row>
    <row r="376" spans="1:4" ht="15.75" x14ac:dyDescent="0.25">
      <c r="A376" s="49" t="s">
        <v>297</v>
      </c>
      <c r="B376" s="47" t="s">
        <v>677</v>
      </c>
      <c r="C376" s="43" t="s">
        <v>298</v>
      </c>
      <c r="D376" s="48">
        <v>2.5</v>
      </c>
    </row>
    <row r="377" spans="1:4" ht="110.25" x14ac:dyDescent="0.25">
      <c r="A377" s="45" t="s">
        <v>678</v>
      </c>
      <c r="B377" s="43" t="s">
        <v>679</v>
      </c>
      <c r="C377" s="43"/>
      <c r="D377" s="44">
        <v>4</v>
      </c>
    </row>
    <row r="378" spans="1:4" ht="15.75" x14ac:dyDescent="0.25">
      <c r="A378" s="49" t="s">
        <v>297</v>
      </c>
      <c r="B378" s="47" t="s">
        <v>679</v>
      </c>
      <c r="C378" s="43" t="s">
        <v>298</v>
      </c>
      <c r="D378" s="48">
        <v>4</v>
      </c>
    </row>
    <row r="379" spans="1:4" ht="63" x14ac:dyDescent="0.25">
      <c r="A379" s="45" t="s">
        <v>462</v>
      </c>
      <c r="B379" s="43" t="s">
        <v>463</v>
      </c>
      <c r="C379" s="43"/>
      <c r="D379" s="44">
        <f>D381+D382+D380</f>
        <v>170.8</v>
      </c>
    </row>
    <row r="380" spans="1:4" ht="47.25" x14ac:dyDescent="0.25">
      <c r="A380" s="42" t="s">
        <v>293</v>
      </c>
      <c r="B380" s="47" t="s">
        <v>463</v>
      </c>
      <c r="C380" s="43" t="s">
        <v>294</v>
      </c>
      <c r="D380" s="44">
        <v>3.9060000000000001</v>
      </c>
    </row>
    <row r="381" spans="1:4" ht="15.75" x14ac:dyDescent="0.25">
      <c r="A381" s="49" t="s">
        <v>297</v>
      </c>
      <c r="B381" s="47" t="s">
        <v>463</v>
      </c>
      <c r="C381" s="43" t="s">
        <v>298</v>
      </c>
      <c r="D381" s="48">
        <f>4.16+0.04-3.906</f>
        <v>0.29400000000000004</v>
      </c>
    </row>
    <row r="382" spans="1:4" ht="15.75" x14ac:dyDescent="0.25">
      <c r="A382" s="46" t="s">
        <v>321</v>
      </c>
      <c r="B382" s="47" t="s">
        <v>463</v>
      </c>
      <c r="C382" s="43" t="s">
        <v>322</v>
      </c>
      <c r="D382" s="48">
        <f>159.548+7.052</f>
        <v>166.6</v>
      </c>
    </row>
    <row r="383" spans="1:4" ht="63" x14ac:dyDescent="0.25">
      <c r="A383" s="45" t="s">
        <v>680</v>
      </c>
      <c r="B383" s="43" t="s">
        <v>681</v>
      </c>
      <c r="C383" s="43"/>
      <c r="D383" s="44">
        <v>9</v>
      </c>
    </row>
    <row r="384" spans="1:4" ht="15.75" x14ac:dyDescent="0.25">
      <c r="A384" s="49" t="s">
        <v>297</v>
      </c>
      <c r="B384" s="47" t="s">
        <v>681</v>
      </c>
      <c r="C384" s="43" t="s">
        <v>298</v>
      </c>
      <c r="D384" s="48">
        <v>9</v>
      </c>
    </row>
    <row r="385" spans="1:4" ht="47.25" x14ac:dyDescent="0.25">
      <c r="A385" s="42" t="s">
        <v>299</v>
      </c>
      <c r="B385" s="43" t="s">
        <v>300</v>
      </c>
      <c r="C385" s="43"/>
      <c r="D385" s="44">
        <f>D386+D387</f>
        <v>406.46</v>
      </c>
    </row>
    <row r="386" spans="1:4" ht="47.25" x14ac:dyDescent="0.25">
      <c r="A386" s="42" t="s">
        <v>293</v>
      </c>
      <c r="B386" s="47" t="s">
        <v>300</v>
      </c>
      <c r="C386" s="43" t="s">
        <v>294</v>
      </c>
      <c r="D386" s="48">
        <v>390.57</v>
      </c>
    </row>
    <row r="387" spans="1:4" ht="15.75" x14ac:dyDescent="0.25">
      <c r="A387" s="49" t="s">
        <v>297</v>
      </c>
      <c r="B387" s="47" t="s">
        <v>300</v>
      </c>
      <c r="C387" s="43" t="s">
        <v>298</v>
      </c>
      <c r="D387" s="48">
        <f>16.89-1</f>
        <v>15.89</v>
      </c>
    </row>
    <row r="388" spans="1:4" ht="31.5" x14ac:dyDescent="0.25">
      <c r="A388" s="42" t="s">
        <v>464</v>
      </c>
      <c r="B388" s="43" t="s">
        <v>465</v>
      </c>
      <c r="C388" s="43"/>
      <c r="D388" s="44">
        <v>1500</v>
      </c>
    </row>
    <row r="389" spans="1:4" ht="15.75" x14ac:dyDescent="0.25">
      <c r="A389" s="49" t="s">
        <v>644</v>
      </c>
      <c r="B389" s="47" t="s">
        <v>465</v>
      </c>
      <c r="C389" s="43" t="s">
        <v>316</v>
      </c>
      <c r="D389" s="48">
        <v>1500</v>
      </c>
    </row>
    <row r="390" spans="1:4" ht="15.75" x14ac:dyDescent="0.25">
      <c r="A390" s="42" t="s">
        <v>303</v>
      </c>
      <c r="B390" s="43" t="s">
        <v>304</v>
      </c>
      <c r="C390" s="43"/>
      <c r="D390" s="44">
        <f>D391+D392+D393</f>
        <v>21748.728999999999</v>
      </c>
    </row>
    <row r="391" spans="1:4" ht="15.75" x14ac:dyDescent="0.25">
      <c r="A391" s="49" t="s">
        <v>297</v>
      </c>
      <c r="B391" s="47" t="s">
        <v>304</v>
      </c>
      <c r="C391" s="43" t="s">
        <v>298</v>
      </c>
      <c r="D391" s="48">
        <f>150+900-117.474-11.935-40-42.137</f>
        <v>838.45399999999995</v>
      </c>
    </row>
    <row r="392" spans="1:4" ht="15.75" x14ac:dyDescent="0.25">
      <c r="A392" s="49" t="s">
        <v>374</v>
      </c>
      <c r="B392" s="47" t="s">
        <v>304</v>
      </c>
      <c r="C392" s="43" t="s">
        <v>375</v>
      </c>
      <c r="D392" s="48">
        <f>4661.695+383.255-153.172</f>
        <v>4891.7780000000002</v>
      </c>
    </row>
    <row r="393" spans="1:4" ht="15.75" x14ac:dyDescent="0.25">
      <c r="A393" s="49" t="s">
        <v>644</v>
      </c>
      <c r="B393" s="47" t="s">
        <v>304</v>
      </c>
      <c r="C393" s="43" t="s">
        <v>316</v>
      </c>
      <c r="D393" s="48">
        <f>16286.658+0.04+50-190.001-128.2</f>
        <v>16018.496999999999</v>
      </c>
    </row>
  </sheetData>
  <mergeCells count="10">
    <mergeCell ref="A8:D8"/>
    <mergeCell ref="A9:D9"/>
    <mergeCell ref="A11:D11"/>
    <mergeCell ref="A15:C15"/>
    <mergeCell ref="A1:D1"/>
    <mergeCell ref="A2:D2"/>
    <mergeCell ref="A3:D3"/>
    <mergeCell ref="A4:D4"/>
    <mergeCell ref="A6:D6"/>
    <mergeCell ref="A7:D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8"/>
  <sheetViews>
    <sheetView view="pageBreakPreview" zoomScaleNormal="100" zoomScaleSheetLayoutView="100" workbookViewId="0">
      <selection activeCell="H3" sqref="H3:I3"/>
    </sheetView>
  </sheetViews>
  <sheetFormatPr defaultRowHeight="15" x14ac:dyDescent="0.25"/>
  <cols>
    <col min="1" max="1" width="4.42578125" customWidth="1"/>
    <col min="2" max="2" width="4.85546875" customWidth="1"/>
    <col min="3" max="3" width="5.28515625" customWidth="1"/>
    <col min="4" max="4" width="4.140625" customWidth="1"/>
    <col min="5" max="5" width="5" customWidth="1"/>
    <col min="6" max="6" width="6.85546875" customWidth="1"/>
    <col min="7" max="7" width="5.42578125" customWidth="1"/>
    <col min="8" max="8" width="43" customWidth="1"/>
    <col min="9" max="9" width="16.5703125" customWidth="1"/>
  </cols>
  <sheetData>
    <row r="1" spans="1:9" ht="18.75" x14ac:dyDescent="0.3">
      <c r="A1" s="52"/>
      <c r="B1" s="52"/>
      <c r="C1" s="52"/>
      <c r="D1" s="52"/>
      <c r="E1" s="52"/>
      <c r="F1" s="52"/>
      <c r="G1" s="52"/>
      <c r="H1" s="152" t="s">
        <v>793</v>
      </c>
      <c r="I1" s="152"/>
    </row>
    <row r="2" spans="1:9" ht="18.75" x14ac:dyDescent="0.3">
      <c r="A2" s="52"/>
      <c r="B2" s="52"/>
      <c r="C2" s="52"/>
      <c r="D2" s="52"/>
      <c r="E2" s="53"/>
      <c r="F2" s="52"/>
      <c r="G2" s="52"/>
      <c r="H2" s="152" t="s">
        <v>1</v>
      </c>
      <c r="I2" s="152"/>
    </row>
    <row r="3" spans="1:9" ht="18.75" x14ac:dyDescent="0.3">
      <c r="A3" s="52"/>
      <c r="B3" s="52"/>
      <c r="C3" s="52"/>
      <c r="D3" s="52"/>
      <c r="E3" s="53"/>
      <c r="F3" s="52"/>
      <c r="G3" s="52"/>
      <c r="H3" s="152" t="s">
        <v>718</v>
      </c>
      <c r="I3" s="152"/>
    </row>
    <row r="4" spans="1:9" ht="18.75" x14ac:dyDescent="0.3">
      <c r="A4" s="153" t="str">
        <f>'Прил. 1 (Доходы)'!A4:C4</f>
        <v>от 18 декабря 2019 г. № 51</v>
      </c>
      <c r="B4" s="153"/>
      <c r="C4" s="153"/>
      <c r="D4" s="153"/>
      <c r="E4" s="153"/>
      <c r="F4" s="153"/>
      <c r="G4" s="153"/>
      <c r="H4" s="153"/>
      <c r="I4" s="153"/>
    </row>
    <row r="5" spans="1:9" ht="18.75" x14ac:dyDescent="0.3">
      <c r="A5" s="52"/>
      <c r="B5" s="52"/>
      <c r="C5" s="52"/>
      <c r="D5" s="52"/>
      <c r="E5" s="52"/>
      <c r="F5" s="52"/>
      <c r="G5" s="52"/>
      <c r="H5" s="54"/>
      <c r="I5" s="54"/>
    </row>
    <row r="6" spans="1:9" ht="18.75" x14ac:dyDescent="0.3">
      <c r="A6" s="52"/>
      <c r="B6" s="52"/>
      <c r="C6" s="52"/>
      <c r="D6" s="52"/>
      <c r="E6" s="52"/>
      <c r="F6" s="52"/>
      <c r="G6" s="52"/>
      <c r="H6" s="54"/>
      <c r="I6" s="54"/>
    </row>
    <row r="7" spans="1:9" ht="18.75" x14ac:dyDescent="0.3">
      <c r="A7" s="53"/>
      <c r="B7" s="53"/>
      <c r="C7" s="53"/>
      <c r="D7" s="53"/>
      <c r="E7" s="53"/>
      <c r="F7" s="53"/>
      <c r="G7" s="53"/>
      <c r="H7" s="152" t="s">
        <v>719</v>
      </c>
      <c r="I7" s="152"/>
    </row>
    <row r="8" spans="1:9" ht="18.75" x14ac:dyDescent="0.3">
      <c r="A8" s="53"/>
      <c r="B8" s="53"/>
      <c r="C8" s="53"/>
      <c r="D8" s="53"/>
      <c r="E8" s="53"/>
      <c r="F8" s="53"/>
      <c r="G8" s="53"/>
      <c r="H8" s="152" t="s">
        <v>717</v>
      </c>
      <c r="I8" s="152"/>
    </row>
    <row r="9" spans="1:9" ht="18.75" x14ac:dyDescent="0.3">
      <c r="A9" s="53"/>
      <c r="B9" s="53"/>
      <c r="C9" s="53"/>
      <c r="D9" s="53"/>
      <c r="E9" s="53"/>
      <c r="F9" s="53"/>
      <c r="G9" s="53"/>
      <c r="H9" s="152" t="s">
        <v>1</v>
      </c>
      <c r="I9" s="152"/>
    </row>
    <row r="10" spans="1:9" ht="18.75" x14ac:dyDescent="0.3">
      <c r="A10" s="53"/>
      <c r="B10" s="53"/>
      <c r="C10" s="53"/>
      <c r="D10" s="53"/>
      <c r="E10" s="53"/>
      <c r="F10" s="53"/>
      <c r="G10" s="53"/>
      <c r="H10" s="152" t="s">
        <v>718</v>
      </c>
      <c r="I10" s="152"/>
    </row>
    <row r="11" spans="1:9" ht="18.75" x14ac:dyDescent="0.3">
      <c r="A11" s="53"/>
      <c r="B11" s="53"/>
      <c r="C11" s="53"/>
      <c r="D11" s="53"/>
      <c r="E11" s="53"/>
      <c r="F11" s="53"/>
      <c r="G11" s="53"/>
      <c r="H11" s="152" t="s">
        <v>720</v>
      </c>
      <c r="I11" s="152"/>
    </row>
    <row r="12" spans="1:9" ht="15.75" x14ac:dyDescent="0.25">
      <c r="A12" s="53"/>
      <c r="B12" s="53"/>
      <c r="C12" s="53"/>
      <c r="D12" s="53"/>
      <c r="E12" s="53"/>
      <c r="F12" s="53"/>
      <c r="G12" s="53"/>
      <c r="H12" s="53"/>
      <c r="I12" s="53"/>
    </row>
    <row r="13" spans="1:9" ht="15.75" x14ac:dyDescent="0.25">
      <c r="A13" s="156" t="s">
        <v>721</v>
      </c>
      <c r="B13" s="157"/>
      <c r="C13" s="157"/>
      <c r="D13" s="157"/>
      <c r="E13" s="157"/>
      <c r="F13" s="157"/>
      <c r="G13" s="157"/>
      <c r="H13" s="157"/>
      <c r="I13" s="157"/>
    </row>
    <row r="14" spans="1:9" ht="15.75" x14ac:dyDescent="0.25">
      <c r="A14" s="156" t="s">
        <v>722</v>
      </c>
      <c r="B14" s="157"/>
      <c r="C14" s="157"/>
      <c r="D14" s="157"/>
      <c r="E14" s="157"/>
      <c r="F14" s="157"/>
      <c r="G14" s="157"/>
      <c r="H14" s="157"/>
      <c r="I14" s="157"/>
    </row>
    <row r="15" spans="1:9" ht="15.75" x14ac:dyDescent="0.25">
      <c r="A15" s="53"/>
      <c r="B15" s="53"/>
      <c r="C15" s="53"/>
      <c r="D15" s="53"/>
      <c r="E15" s="53"/>
      <c r="F15" s="53"/>
      <c r="G15" s="53"/>
      <c r="H15" s="154"/>
      <c r="I15" s="154"/>
    </row>
    <row r="16" spans="1:9" ht="15.75" x14ac:dyDescent="0.25">
      <c r="A16" s="53"/>
      <c r="B16" s="53"/>
      <c r="C16" s="53"/>
      <c r="D16" s="53"/>
      <c r="E16" s="53"/>
      <c r="F16" s="53"/>
      <c r="G16" s="53"/>
      <c r="H16" s="53"/>
      <c r="I16" s="55"/>
    </row>
    <row r="17" spans="1:9" ht="31.5" x14ac:dyDescent="0.25">
      <c r="A17" s="155" t="s">
        <v>723</v>
      </c>
      <c r="B17" s="155"/>
      <c r="C17" s="155"/>
      <c r="D17" s="155"/>
      <c r="E17" s="155"/>
      <c r="F17" s="155"/>
      <c r="G17" s="155"/>
      <c r="H17" s="56" t="s">
        <v>724</v>
      </c>
      <c r="I17" s="57" t="s">
        <v>725</v>
      </c>
    </row>
    <row r="18" spans="1:9" ht="15.75" x14ac:dyDescent="0.25">
      <c r="A18" s="155">
        <v>1</v>
      </c>
      <c r="B18" s="155"/>
      <c r="C18" s="155"/>
      <c r="D18" s="155"/>
      <c r="E18" s="155"/>
      <c r="F18" s="155"/>
      <c r="G18" s="155"/>
      <c r="H18" s="56">
        <v>2</v>
      </c>
      <c r="I18" s="57">
        <v>3</v>
      </c>
    </row>
    <row r="19" spans="1:9" ht="31.5" x14ac:dyDescent="0.25">
      <c r="A19" s="58" t="s">
        <v>726</v>
      </c>
      <c r="B19" s="59" t="s">
        <v>727</v>
      </c>
      <c r="C19" s="59" t="s">
        <v>727</v>
      </c>
      <c r="D19" s="59" t="s">
        <v>727</v>
      </c>
      <c r="E19" s="59" t="s">
        <v>727</v>
      </c>
      <c r="F19" s="59" t="s">
        <v>728</v>
      </c>
      <c r="G19" s="60" t="s">
        <v>729</v>
      </c>
      <c r="H19" s="61" t="s">
        <v>730</v>
      </c>
      <c r="I19" s="62">
        <f>SUM(I20,I29)</f>
        <v>31769.230000000098</v>
      </c>
    </row>
    <row r="20" spans="1:9" ht="31.5" x14ac:dyDescent="0.25">
      <c r="A20" s="58" t="s">
        <v>726</v>
      </c>
      <c r="B20" s="59" t="s">
        <v>731</v>
      </c>
      <c r="C20" s="59" t="s">
        <v>727</v>
      </c>
      <c r="D20" s="59" t="s">
        <v>727</v>
      </c>
      <c r="E20" s="59" t="s">
        <v>727</v>
      </c>
      <c r="F20" s="59" t="s">
        <v>728</v>
      </c>
      <c r="G20" s="60" t="s">
        <v>729</v>
      </c>
      <c r="H20" s="61" t="s">
        <v>732</v>
      </c>
      <c r="I20" s="63">
        <f>SUM(I25,I22)</f>
        <v>31769.230000000098</v>
      </c>
    </row>
    <row r="21" spans="1:9" ht="15.75" x14ac:dyDescent="0.25">
      <c r="A21" s="58" t="s">
        <v>726</v>
      </c>
      <c r="B21" s="59" t="s">
        <v>731</v>
      </c>
      <c r="C21" s="59" t="s">
        <v>727</v>
      </c>
      <c r="D21" s="59" t="s">
        <v>727</v>
      </c>
      <c r="E21" s="59" t="s">
        <v>727</v>
      </c>
      <c r="F21" s="59" t="s">
        <v>728</v>
      </c>
      <c r="G21" s="60" t="s">
        <v>322</v>
      </c>
      <c r="H21" s="64" t="s">
        <v>733</v>
      </c>
      <c r="I21" s="63">
        <f>SUM(I22)</f>
        <v>-750750.84699999995</v>
      </c>
    </row>
    <row r="22" spans="1:9" ht="31.5" x14ac:dyDescent="0.25">
      <c r="A22" s="58" t="s">
        <v>726</v>
      </c>
      <c r="B22" s="59" t="s">
        <v>731</v>
      </c>
      <c r="C22" s="59" t="s">
        <v>734</v>
      </c>
      <c r="D22" s="59" t="s">
        <v>727</v>
      </c>
      <c r="E22" s="59" t="s">
        <v>727</v>
      </c>
      <c r="F22" s="59" t="s">
        <v>728</v>
      </c>
      <c r="G22" s="60" t="s">
        <v>322</v>
      </c>
      <c r="H22" s="64" t="s">
        <v>735</v>
      </c>
      <c r="I22" s="63">
        <f>SUM(I23)</f>
        <v>-750750.84699999995</v>
      </c>
    </row>
    <row r="23" spans="1:9" ht="31.5" x14ac:dyDescent="0.25">
      <c r="A23" s="58" t="s">
        <v>726</v>
      </c>
      <c r="B23" s="59" t="s">
        <v>731</v>
      </c>
      <c r="C23" s="59" t="s">
        <v>734</v>
      </c>
      <c r="D23" s="59" t="s">
        <v>726</v>
      </c>
      <c r="E23" s="59" t="s">
        <v>727</v>
      </c>
      <c r="F23" s="59" t="s">
        <v>728</v>
      </c>
      <c r="G23" s="60" t="s">
        <v>736</v>
      </c>
      <c r="H23" s="64" t="s">
        <v>737</v>
      </c>
      <c r="I23" s="63">
        <f>SUM(I24)</f>
        <v>-750750.84699999995</v>
      </c>
    </row>
    <row r="24" spans="1:9" ht="47.25" x14ac:dyDescent="0.25">
      <c r="A24" s="58" t="s">
        <v>726</v>
      </c>
      <c r="B24" s="59" t="s">
        <v>731</v>
      </c>
      <c r="C24" s="59" t="s">
        <v>734</v>
      </c>
      <c r="D24" s="59" t="s">
        <v>726</v>
      </c>
      <c r="E24" s="59" t="s">
        <v>731</v>
      </c>
      <c r="F24" s="59" t="s">
        <v>728</v>
      </c>
      <c r="G24" s="60" t="s">
        <v>736</v>
      </c>
      <c r="H24" s="64" t="s">
        <v>738</v>
      </c>
      <c r="I24" s="65">
        <f>-1000-747420.644-2330.203</f>
        <v>-750750.84699999995</v>
      </c>
    </row>
    <row r="25" spans="1:9" ht="15.75" x14ac:dyDescent="0.25">
      <c r="A25" s="58" t="s">
        <v>726</v>
      </c>
      <c r="B25" s="59" t="s">
        <v>731</v>
      </c>
      <c r="C25" s="59" t="s">
        <v>727</v>
      </c>
      <c r="D25" s="59" t="s">
        <v>727</v>
      </c>
      <c r="E25" s="59" t="s">
        <v>727</v>
      </c>
      <c r="F25" s="59" t="s">
        <v>728</v>
      </c>
      <c r="G25" s="60" t="s">
        <v>447</v>
      </c>
      <c r="H25" s="64" t="s">
        <v>739</v>
      </c>
      <c r="I25" s="63">
        <f>SUM(I26)</f>
        <v>782520.07700000005</v>
      </c>
    </row>
    <row r="26" spans="1:9" ht="31.5" x14ac:dyDescent="0.25">
      <c r="A26" s="58" t="s">
        <v>726</v>
      </c>
      <c r="B26" s="59" t="s">
        <v>731</v>
      </c>
      <c r="C26" s="59" t="s">
        <v>734</v>
      </c>
      <c r="D26" s="59" t="s">
        <v>727</v>
      </c>
      <c r="E26" s="59" t="s">
        <v>727</v>
      </c>
      <c r="F26" s="59" t="s">
        <v>728</v>
      </c>
      <c r="G26" s="60" t="s">
        <v>447</v>
      </c>
      <c r="H26" s="64" t="s">
        <v>740</v>
      </c>
      <c r="I26" s="63">
        <f>SUM(I27)</f>
        <v>782520.07700000005</v>
      </c>
    </row>
    <row r="27" spans="1:9" ht="31.5" x14ac:dyDescent="0.25">
      <c r="A27" s="58" t="s">
        <v>726</v>
      </c>
      <c r="B27" s="59" t="s">
        <v>731</v>
      </c>
      <c r="C27" s="59" t="s">
        <v>734</v>
      </c>
      <c r="D27" s="59" t="s">
        <v>726</v>
      </c>
      <c r="E27" s="59" t="s">
        <v>727</v>
      </c>
      <c r="F27" s="59" t="s">
        <v>728</v>
      </c>
      <c r="G27" s="60" t="s">
        <v>741</v>
      </c>
      <c r="H27" s="64" t="s">
        <v>742</v>
      </c>
      <c r="I27" s="63">
        <f>SUM(I28)</f>
        <v>782520.07700000005</v>
      </c>
    </row>
    <row r="28" spans="1:9" ht="47.25" x14ac:dyDescent="0.25">
      <c r="A28" s="58" t="s">
        <v>726</v>
      </c>
      <c r="B28" s="59" t="s">
        <v>731</v>
      </c>
      <c r="C28" s="59" t="s">
        <v>734</v>
      </c>
      <c r="D28" s="59" t="s">
        <v>726</v>
      </c>
      <c r="E28" s="59" t="s">
        <v>731</v>
      </c>
      <c r="F28" s="59" t="s">
        <v>728</v>
      </c>
      <c r="G28" s="60" t="s">
        <v>741</v>
      </c>
      <c r="H28" s="64" t="s">
        <v>743</v>
      </c>
      <c r="I28" s="63">
        <v>782520.07700000005</v>
      </c>
    </row>
  </sheetData>
  <mergeCells count="14">
    <mergeCell ref="H15:I15"/>
    <mergeCell ref="A17:G17"/>
    <mergeCell ref="A18:G18"/>
    <mergeCell ref="H8:I8"/>
    <mergeCell ref="H9:I9"/>
    <mergeCell ref="H10:I10"/>
    <mergeCell ref="H11:I11"/>
    <mergeCell ref="A13:I13"/>
    <mergeCell ref="A14:I14"/>
    <mergeCell ref="H7:I7"/>
    <mergeCell ref="H1:I1"/>
    <mergeCell ref="H2:I2"/>
    <mergeCell ref="H3:I3"/>
    <mergeCell ref="A4:I4"/>
  </mergeCells>
  <pageMargins left="0.7" right="0.7" top="0.75" bottom="0.75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8"/>
  <sheetViews>
    <sheetView view="pageBreakPreview" zoomScale="60" zoomScaleNormal="100" workbookViewId="0">
      <selection activeCell="A9" sqref="A9:D9"/>
    </sheetView>
  </sheetViews>
  <sheetFormatPr defaultRowHeight="15" x14ac:dyDescent="0.25"/>
  <cols>
    <col min="1" max="1" width="67.7109375" customWidth="1"/>
    <col min="2" max="2" width="19.28515625" customWidth="1"/>
    <col min="3" max="4" width="0" hidden="1" customWidth="1"/>
  </cols>
  <sheetData>
    <row r="1" spans="1:4" ht="18.75" x14ac:dyDescent="0.3">
      <c r="A1" s="160" t="s">
        <v>682</v>
      </c>
      <c r="B1" s="161"/>
      <c r="C1" s="161"/>
      <c r="D1" s="161"/>
    </row>
    <row r="2" spans="1:4" ht="18.75" x14ac:dyDescent="0.3">
      <c r="A2" s="160" t="s">
        <v>744</v>
      </c>
      <c r="B2" s="161"/>
      <c r="C2" s="161"/>
      <c r="D2" s="161"/>
    </row>
    <row r="3" spans="1:4" ht="18.75" x14ac:dyDescent="0.3">
      <c r="A3" s="160" t="s">
        <v>2</v>
      </c>
      <c r="B3" s="161"/>
      <c r="C3" s="161"/>
      <c r="D3" s="161"/>
    </row>
    <row r="4" spans="1:4" ht="18.75" x14ac:dyDescent="0.3">
      <c r="A4" s="160" t="str">
        <f>'Прил. 1 (Доходы)'!A4:C4</f>
        <v>от 18 декабря 2019 г. № 51</v>
      </c>
      <c r="B4" s="160"/>
      <c r="C4" s="160"/>
      <c r="D4" s="160"/>
    </row>
    <row r="5" spans="1:4" ht="18.75" x14ac:dyDescent="0.3">
      <c r="A5" s="66"/>
      <c r="B5" s="67"/>
      <c r="C5" s="67"/>
      <c r="D5" s="67"/>
    </row>
    <row r="6" spans="1:4" ht="18.75" x14ac:dyDescent="0.3">
      <c r="A6" s="160" t="s">
        <v>745</v>
      </c>
      <c r="B6" s="161"/>
      <c r="C6" s="161"/>
      <c r="D6" s="161"/>
    </row>
    <row r="7" spans="1:4" ht="18.75" x14ac:dyDescent="0.3">
      <c r="A7" s="160" t="s">
        <v>744</v>
      </c>
      <c r="B7" s="161"/>
      <c r="C7" s="161"/>
      <c r="D7" s="161"/>
    </row>
    <row r="8" spans="1:4" ht="18.75" x14ac:dyDescent="0.3">
      <c r="A8" s="160" t="s">
        <v>2</v>
      </c>
      <c r="B8" s="161"/>
      <c r="C8" s="161"/>
      <c r="D8" s="161"/>
    </row>
    <row r="9" spans="1:4" ht="18.75" customHeight="1" x14ac:dyDescent="0.3">
      <c r="A9" s="160" t="s">
        <v>795</v>
      </c>
      <c r="B9" s="160"/>
      <c r="C9" s="160"/>
      <c r="D9" s="160"/>
    </row>
    <row r="10" spans="1:4" ht="18.75" x14ac:dyDescent="0.3">
      <c r="A10" s="66"/>
      <c r="B10" s="68"/>
      <c r="C10" s="68"/>
      <c r="D10" s="68"/>
    </row>
    <row r="11" spans="1:4" ht="18.75" x14ac:dyDescent="0.3">
      <c r="A11" s="69"/>
      <c r="B11" s="162" t="s">
        <v>747</v>
      </c>
      <c r="C11" s="162"/>
      <c r="D11" s="162"/>
    </row>
    <row r="12" spans="1:4" ht="18.75" x14ac:dyDescent="0.3">
      <c r="A12" s="69"/>
      <c r="B12" s="69"/>
      <c r="C12" s="162"/>
      <c r="D12" s="162"/>
    </row>
    <row r="13" spans="1:4" ht="18.75" x14ac:dyDescent="0.3">
      <c r="A13" s="163" t="s">
        <v>748</v>
      </c>
      <c r="B13" s="163"/>
      <c r="C13" s="163"/>
      <c r="D13" s="163"/>
    </row>
    <row r="14" spans="1:4" x14ac:dyDescent="0.25">
      <c r="A14" s="158" t="s">
        <v>749</v>
      </c>
      <c r="B14" s="158"/>
      <c r="C14" s="158"/>
      <c r="D14" s="158"/>
    </row>
    <row r="15" spans="1:4" ht="25.5" customHeight="1" x14ac:dyDescent="0.25">
      <c r="A15" s="159"/>
      <c r="B15" s="159"/>
      <c r="C15" s="159"/>
      <c r="D15" s="159"/>
    </row>
    <row r="16" spans="1:4" ht="18.75" x14ac:dyDescent="0.3">
      <c r="A16" s="70"/>
      <c r="B16" s="68"/>
      <c r="C16" s="68"/>
      <c r="D16" s="68"/>
    </row>
    <row r="17" spans="1:4" ht="87.75" customHeight="1" x14ac:dyDescent="0.3">
      <c r="A17" s="71" t="s">
        <v>750</v>
      </c>
      <c r="B17" s="71" t="s">
        <v>751</v>
      </c>
      <c r="C17" s="72" t="s">
        <v>752</v>
      </c>
      <c r="D17" s="72" t="s">
        <v>753</v>
      </c>
    </row>
    <row r="18" spans="1:4" ht="18.75" x14ac:dyDescent="0.3">
      <c r="A18" s="73" t="s">
        <v>754</v>
      </c>
      <c r="B18" s="74">
        <f>SUM(B20:D28)</f>
        <v>46274.904000000002</v>
      </c>
      <c r="C18" s="74">
        <f>SUM(C28:C28)</f>
        <v>0</v>
      </c>
      <c r="D18" s="75">
        <f>SUM(D28:D28)</f>
        <v>0</v>
      </c>
    </row>
    <row r="19" spans="1:4" ht="18.75" x14ac:dyDescent="0.3">
      <c r="A19" s="76"/>
      <c r="B19" s="77"/>
      <c r="C19" s="78"/>
      <c r="D19" s="79"/>
    </row>
    <row r="20" spans="1:4" ht="18.75" x14ac:dyDescent="0.3">
      <c r="A20" s="76" t="s">
        <v>755</v>
      </c>
      <c r="B20" s="77">
        <f>1400+25318.31+4.185-0.022+1020</f>
        <v>27742.473000000002</v>
      </c>
      <c r="C20" s="78"/>
      <c r="D20" s="79"/>
    </row>
    <row r="21" spans="1:4" ht="18.75" x14ac:dyDescent="0.3">
      <c r="A21" s="76" t="s">
        <v>756</v>
      </c>
      <c r="B21" s="77">
        <v>600</v>
      </c>
      <c r="C21" s="78"/>
      <c r="D21" s="79"/>
    </row>
    <row r="22" spans="1:4" ht="18.75" x14ac:dyDescent="0.3">
      <c r="A22" s="76" t="s">
        <v>757</v>
      </c>
      <c r="B22" s="77">
        <f>100+55+95.95+4670.345+0.732+132.03</f>
        <v>5054.0569999999998</v>
      </c>
      <c r="C22" s="78"/>
      <c r="D22" s="79"/>
    </row>
    <row r="23" spans="1:4" ht="18.75" x14ac:dyDescent="0.3">
      <c r="A23" s="76" t="s">
        <v>758</v>
      </c>
      <c r="B23" s="77">
        <f>1672.094+3.155+76.8</f>
        <v>1752.049</v>
      </c>
      <c r="C23" s="78"/>
      <c r="D23" s="79"/>
    </row>
    <row r="24" spans="1:4" ht="18.75" x14ac:dyDescent="0.3">
      <c r="A24" s="76" t="s">
        <v>759</v>
      </c>
      <c r="B24" s="77">
        <f>1495.619+2.27</f>
        <v>1497.8889999999999</v>
      </c>
      <c r="C24" s="78"/>
      <c r="D24" s="79"/>
    </row>
    <row r="25" spans="1:4" ht="18.75" x14ac:dyDescent="0.3">
      <c r="A25" s="76" t="s">
        <v>760</v>
      </c>
      <c r="B25" s="77">
        <f>3630.181+8.589+51</f>
        <v>3689.77</v>
      </c>
      <c r="C25" s="78"/>
      <c r="D25" s="79"/>
    </row>
    <row r="26" spans="1:4" ht="18.75" x14ac:dyDescent="0.3">
      <c r="A26" s="76" t="s">
        <v>761</v>
      </c>
      <c r="B26" s="77">
        <f>3.214+2519.717+43.622</f>
        <v>2566.5529999999999</v>
      </c>
      <c r="C26" s="78"/>
      <c r="D26" s="79"/>
    </row>
    <row r="27" spans="1:4" ht="18.75" x14ac:dyDescent="0.3">
      <c r="A27" s="76" t="s">
        <v>762</v>
      </c>
      <c r="B27" s="77">
        <f>1176.027+557.4+152.93</f>
        <v>1886.3570000000002</v>
      </c>
      <c r="C27" s="78"/>
      <c r="D27" s="79"/>
    </row>
    <row r="28" spans="1:4" ht="18.75" x14ac:dyDescent="0.3">
      <c r="A28" s="80" t="s">
        <v>763</v>
      </c>
      <c r="B28" s="81">
        <f>1362.529+8+62.787+2.8+49.64</f>
        <v>1485.7560000000001</v>
      </c>
      <c r="C28" s="81"/>
      <c r="D28" s="82"/>
    </row>
  </sheetData>
  <mergeCells count="12">
    <mergeCell ref="A14:D15"/>
    <mergeCell ref="A1:D1"/>
    <mergeCell ref="A2:D2"/>
    <mergeCell ref="A3:D3"/>
    <mergeCell ref="A4:D4"/>
    <mergeCell ref="A6:D6"/>
    <mergeCell ref="A7:D7"/>
    <mergeCell ref="A8:D8"/>
    <mergeCell ref="A9:D9"/>
    <mergeCell ref="B11:D11"/>
    <mergeCell ref="C12:D12"/>
    <mergeCell ref="A13:D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0"/>
  <sheetViews>
    <sheetView view="pageBreakPreview" zoomScaleNormal="100" zoomScaleSheetLayoutView="100" workbookViewId="0">
      <selection activeCell="I17" sqref="I17"/>
    </sheetView>
  </sheetViews>
  <sheetFormatPr defaultRowHeight="15" x14ac:dyDescent="0.25"/>
  <cols>
    <col min="1" max="1" width="67.7109375" customWidth="1"/>
    <col min="2" max="2" width="15.28515625" customWidth="1"/>
    <col min="3" max="4" width="0" hidden="1" customWidth="1"/>
  </cols>
  <sheetData>
    <row r="1" spans="1:4" ht="18.75" x14ac:dyDescent="0.3">
      <c r="A1" s="160" t="s">
        <v>796</v>
      </c>
      <c r="B1" s="161"/>
      <c r="C1" s="161"/>
      <c r="D1" s="161"/>
    </row>
    <row r="2" spans="1:4" ht="18.75" x14ac:dyDescent="0.3">
      <c r="A2" s="160" t="s">
        <v>744</v>
      </c>
      <c r="B2" s="161"/>
      <c r="C2" s="161"/>
      <c r="D2" s="161"/>
    </row>
    <row r="3" spans="1:4" ht="18.75" x14ac:dyDescent="0.3">
      <c r="A3" s="160" t="s">
        <v>2</v>
      </c>
      <c r="B3" s="161"/>
      <c r="C3" s="161"/>
      <c r="D3" s="161"/>
    </row>
    <row r="4" spans="1:4" ht="18.75" x14ac:dyDescent="0.3">
      <c r="A4" s="160" t="str">
        <f>'Прил. 1 (Доходы)'!A4:C4</f>
        <v>от 18 декабря 2019 г. № 51</v>
      </c>
      <c r="B4" s="160"/>
      <c r="C4" s="160"/>
      <c r="D4" s="160"/>
    </row>
    <row r="5" spans="1:4" ht="18.75" x14ac:dyDescent="0.3">
      <c r="A5" s="66"/>
      <c r="B5" s="67"/>
      <c r="C5" s="67"/>
      <c r="D5" s="67"/>
    </row>
    <row r="6" spans="1:4" ht="18.75" x14ac:dyDescent="0.3">
      <c r="A6" s="160" t="s">
        <v>745</v>
      </c>
      <c r="B6" s="161"/>
      <c r="C6" s="161"/>
      <c r="D6" s="161"/>
    </row>
    <row r="7" spans="1:4" ht="18.75" x14ac:dyDescent="0.3">
      <c r="A7" s="160" t="s">
        <v>744</v>
      </c>
      <c r="B7" s="161"/>
      <c r="C7" s="161"/>
      <c r="D7" s="161"/>
    </row>
    <row r="8" spans="1:4" ht="18.75" x14ac:dyDescent="0.3">
      <c r="A8" s="160" t="s">
        <v>2</v>
      </c>
      <c r="B8" s="161"/>
      <c r="C8" s="161"/>
      <c r="D8" s="161"/>
    </row>
    <row r="9" spans="1:4" ht="18.75" x14ac:dyDescent="0.3">
      <c r="A9" s="160" t="s">
        <v>795</v>
      </c>
      <c r="B9" s="160"/>
      <c r="C9" s="160"/>
      <c r="D9" s="160"/>
    </row>
    <row r="10" spans="1:4" ht="18.75" x14ac:dyDescent="0.3">
      <c r="A10" s="66"/>
      <c r="B10" s="68"/>
      <c r="C10" s="68"/>
      <c r="D10" s="68"/>
    </row>
    <row r="11" spans="1:4" ht="18.75" x14ac:dyDescent="0.3">
      <c r="A11" s="69"/>
      <c r="B11" s="162" t="s">
        <v>764</v>
      </c>
      <c r="C11" s="162"/>
      <c r="D11" s="162"/>
    </row>
    <row r="12" spans="1:4" ht="18.75" x14ac:dyDescent="0.3">
      <c r="A12" s="69"/>
      <c r="B12" s="69"/>
      <c r="C12" s="162"/>
      <c r="D12" s="162"/>
    </row>
    <row r="13" spans="1:4" ht="18.75" x14ac:dyDescent="0.3">
      <c r="A13" s="163" t="s">
        <v>765</v>
      </c>
      <c r="B13" s="163"/>
      <c r="C13" s="163"/>
      <c r="D13" s="163"/>
    </row>
    <row r="14" spans="1:4" x14ac:dyDescent="0.25">
      <c r="A14" s="158" t="s">
        <v>766</v>
      </c>
      <c r="B14" s="158"/>
      <c r="C14" s="158"/>
      <c r="D14" s="158"/>
    </row>
    <row r="15" spans="1:4" ht="70.5" customHeight="1" x14ac:dyDescent="0.25">
      <c r="A15" s="159"/>
      <c r="B15" s="159"/>
      <c r="C15" s="159"/>
      <c r="D15" s="159"/>
    </row>
    <row r="16" spans="1:4" ht="18.75" x14ac:dyDescent="0.3">
      <c r="A16" s="70"/>
      <c r="B16" s="68"/>
      <c r="C16" s="68"/>
      <c r="D16" s="68"/>
    </row>
    <row r="17" spans="1:4" ht="69.75" customHeight="1" x14ac:dyDescent="0.3">
      <c r="A17" s="71" t="s">
        <v>750</v>
      </c>
      <c r="B17" s="71" t="s">
        <v>751</v>
      </c>
      <c r="C17" s="72" t="s">
        <v>752</v>
      </c>
      <c r="D17" s="72" t="s">
        <v>753</v>
      </c>
    </row>
    <row r="18" spans="1:4" ht="18.75" x14ac:dyDescent="0.3">
      <c r="A18" s="73" t="s">
        <v>754</v>
      </c>
      <c r="B18" s="74">
        <f>B20</f>
        <v>77.141999999999996</v>
      </c>
      <c r="C18" s="74" t="e">
        <f>SUM(#REF!)</f>
        <v>#REF!</v>
      </c>
      <c r="D18" s="75" t="e">
        <f>SUM(#REF!)</f>
        <v>#REF!</v>
      </c>
    </row>
    <row r="19" spans="1:4" ht="18.75" x14ac:dyDescent="0.3">
      <c r="A19" s="76"/>
      <c r="B19" s="77"/>
      <c r="C19" s="78"/>
      <c r="D19" s="79"/>
    </row>
    <row r="20" spans="1:4" ht="18.75" x14ac:dyDescent="0.3">
      <c r="A20" s="80" t="s">
        <v>755</v>
      </c>
      <c r="B20" s="81">
        <f>88.142-11</f>
        <v>77.141999999999996</v>
      </c>
      <c r="C20" s="78"/>
      <c r="D20" s="79"/>
    </row>
  </sheetData>
  <mergeCells count="12">
    <mergeCell ref="A14:D15"/>
    <mergeCell ref="A1:D1"/>
    <mergeCell ref="A2:D2"/>
    <mergeCell ref="A3:D3"/>
    <mergeCell ref="A4:D4"/>
    <mergeCell ref="A6:D6"/>
    <mergeCell ref="A7:D7"/>
    <mergeCell ref="A8:D8"/>
    <mergeCell ref="A9:D9"/>
    <mergeCell ref="B11:D11"/>
    <mergeCell ref="C12:D12"/>
    <mergeCell ref="A13:D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1"/>
  <sheetViews>
    <sheetView view="pageBreakPreview" zoomScaleNormal="100" zoomScaleSheetLayoutView="100" workbookViewId="0">
      <selection activeCell="I44" sqref="I44"/>
    </sheetView>
  </sheetViews>
  <sheetFormatPr defaultRowHeight="15" x14ac:dyDescent="0.25"/>
  <cols>
    <col min="1" max="1" width="67.7109375" customWidth="1"/>
    <col min="2" max="2" width="18.5703125" customWidth="1"/>
    <col min="3" max="4" width="0" hidden="1" customWidth="1"/>
  </cols>
  <sheetData>
    <row r="1" spans="1:4" ht="18.75" x14ac:dyDescent="0.3">
      <c r="A1" s="160" t="s">
        <v>801</v>
      </c>
      <c r="B1" s="161"/>
      <c r="C1" s="161"/>
      <c r="D1" s="161"/>
    </row>
    <row r="2" spans="1:4" ht="18.75" x14ac:dyDescent="0.3">
      <c r="A2" s="160" t="s">
        <v>744</v>
      </c>
      <c r="B2" s="161"/>
      <c r="C2" s="161"/>
      <c r="D2" s="161"/>
    </row>
    <row r="3" spans="1:4" ht="18.75" x14ac:dyDescent="0.3">
      <c r="A3" s="160" t="s">
        <v>2</v>
      </c>
      <c r="B3" s="161"/>
      <c r="C3" s="161"/>
      <c r="D3" s="161"/>
    </row>
    <row r="4" spans="1:4" ht="18.75" x14ac:dyDescent="0.3">
      <c r="A4" s="160" t="str">
        <f>'Прил. 1 (Доходы)'!A4:C4</f>
        <v>от 18 декабря 2019 г. № 51</v>
      </c>
      <c r="B4" s="160"/>
      <c r="C4" s="160"/>
      <c r="D4" s="160"/>
    </row>
    <row r="5" spans="1:4" ht="18.75" x14ac:dyDescent="0.3">
      <c r="A5" s="66"/>
      <c r="B5" s="67"/>
      <c r="C5" s="67"/>
      <c r="D5" s="67"/>
    </row>
    <row r="6" spans="1:4" ht="18.75" x14ac:dyDescent="0.3">
      <c r="A6" s="160" t="s">
        <v>745</v>
      </c>
      <c r="B6" s="161"/>
      <c r="C6" s="161"/>
      <c r="D6" s="161"/>
    </row>
    <row r="7" spans="1:4" ht="18.75" x14ac:dyDescent="0.3">
      <c r="A7" s="160" t="s">
        <v>744</v>
      </c>
      <c r="B7" s="161"/>
      <c r="C7" s="161"/>
      <c r="D7" s="161"/>
    </row>
    <row r="8" spans="1:4" ht="18.75" x14ac:dyDescent="0.3">
      <c r="A8" s="160" t="s">
        <v>2</v>
      </c>
      <c r="B8" s="161"/>
      <c r="C8" s="161"/>
      <c r="D8" s="161"/>
    </row>
    <row r="9" spans="1:4" ht="18.75" x14ac:dyDescent="0.3">
      <c r="A9" s="160" t="s">
        <v>795</v>
      </c>
      <c r="B9" s="160"/>
      <c r="C9" s="160"/>
      <c r="D9" s="160"/>
    </row>
    <row r="10" spans="1:4" ht="18.75" x14ac:dyDescent="0.3">
      <c r="A10" s="66"/>
      <c r="B10" s="68"/>
      <c r="C10" s="68"/>
      <c r="D10" s="68"/>
    </row>
    <row r="11" spans="1:4" ht="18.75" x14ac:dyDescent="0.3">
      <c r="A11" s="69"/>
      <c r="B11" s="162" t="s">
        <v>767</v>
      </c>
      <c r="C11" s="162"/>
      <c r="D11" s="162"/>
    </row>
    <row r="12" spans="1:4" ht="18.75" x14ac:dyDescent="0.3">
      <c r="A12" s="69"/>
      <c r="B12" s="69"/>
      <c r="C12" s="162"/>
      <c r="D12" s="162"/>
    </row>
    <row r="13" spans="1:4" ht="20.25" customHeight="1" x14ac:dyDescent="0.3">
      <c r="A13" s="163" t="s">
        <v>765</v>
      </c>
      <c r="B13" s="163"/>
      <c r="C13" s="163"/>
      <c r="D13" s="163"/>
    </row>
    <row r="14" spans="1:4" ht="20.25" customHeight="1" x14ac:dyDescent="0.25">
      <c r="A14" s="158" t="s">
        <v>768</v>
      </c>
      <c r="B14" s="158"/>
      <c r="C14" s="158"/>
      <c r="D14" s="158"/>
    </row>
    <row r="15" spans="1:4" ht="47.25" customHeight="1" x14ac:dyDescent="0.25">
      <c r="A15" s="159"/>
      <c r="B15" s="159"/>
      <c r="C15" s="159"/>
      <c r="D15" s="159"/>
    </row>
    <row r="16" spans="1:4" ht="18.75" x14ac:dyDescent="0.3">
      <c r="A16" s="70"/>
      <c r="B16" s="68"/>
      <c r="C16" s="68"/>
      <c r="D16" s="68"/>
    </row>
    <row r="17" spans="1:4" ht="68.25" customHeight="1" x14ac:dyDescent="0.3">
      <c r="A17" s="71" t="s">
        <v>750</v>
      </c>
      <c r="B17" s="71" t="s">
        <v>751</v>
      </c>
      <c r="C17" s="72" t="s">
        <v>752</v>
      </c>
      <c r="D17" s="72" t="s">
        <v>753</v>
      </c>
    </row>
    <row r="18" spans="1:4" ht="18.75" x14ac:dyDescent="0.3">
      <c r="A18" s="84" t="s">
        <v>754</v>
      </c>
      <c r="B18" s="85">
        <f>B20+B21</f>
        <v>2831.8100000000004</v>
      </c>
      <c r="C18" s="85" t="e">
        <f>SUM(#REF!)</f>
        <v>#REF!</v>
      </c>
      <c r="D18" s="75" t="e">
        <f>SUM(#REF!)</f>
        <v>#REF!</v>
      </c>
    </row>
    <row r="19" spans="1:4" ht="18.75" x14ac:dyDescent="0.3">
      <c r="A19" s="86"/>
      <c r="B19" s="87"/>
      <c r="C19" s="88"/>
      <c r="D19" s="79"/>
    </row>
    <row r="20" spans="1:4" ht="18.75" x14ac:dyDescent="0.3">
      <c r="A20" s="86" t="s">
        <v>755</v>
      </c>
      <c r="B20" s="87">
        <f>1190.019-293.214</f>
        <v>896.80500000000006</v>
      </c>
      <c r="C20" s="88"/>
      <c r="D20" s="79"/>
    </row>
    <row r="21" spans="1:4" ht="18.75" x14ac:dyDescent="0.3">
      <c r="A21" s="89" t="s">
        <v>760</v>
      </c>
      <c r="B21" s="90">
        <v>1935.0050000000001</v>
      </c>
      <c r="C21" s="88"/>
      <c r="D21" s="79"/>
    </row>
  </sheetData>
  <mergeCells count="12">
    <mergeCell ref="A14:D15"/>
    <mergeCell ref="A1:D1"/>
    <mergeCell ref="A2:D2"/>
    <mergeCell ref="A3:D3"/>
    <mergeCell ref="A4:D4"/>
    <mergeCell ref="A6:D6"/>
    <mergeCell ref="A7:D7"/>
    <mergeCell ref="A8:D8"/>
    <mergeCell ref="A9:D9"/>
    <mergeCell ref="B11:D11"/>
    <mergeCell ref="C12:D12"/>
    <mergeCell ref="A13:D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1"/>
  <sheetViews>
    <sheetView tabSelected="1" view="pageBreakPreview" zoomScale="60" zoomScaleNormal="100" workbookViewId="0">
      <selection activeCell="A2" sqref="A2:F2"/>
    </sheetView>
  </sheetViews>
  <sheetFormatPr defaultRowHeight="15" x14ac:dyDescent="0.25"/>
  <cols>
    <col min="1" max="1" width="51" customWidth="1"/>
    <col min="2" max="2" width="15.28515625" customWidth="1"/>
    <col min="3" max="4" width="0" hidden="1" customWidth="1"/>
    <col min="5" max="5" width="28.85546875" customWidth="1"/>
    <col min="6" max="6" width="21.85546875" customWidth="1"/>
  </cols>
  <sheetData>
    <row r="1" spans="1:6" ht="18.75" x14ac:dyDescent="0.3">
      <c r="A1" s="160" t="s">
        <v>802</v>
      </c>
      <c r="B1" s="160"/>
      <c r="C1" s="160"/>
      <c r="D1" s="160"/>
      <c r="E1" s="160"/>
      <c r="F1" s="160"/>
    </row>
    <row r="2" spans="1:6" ht="18.75" x14ac:dyDescent="0.3">
      <c r="A2" s="160" t="s">
        <v>744</v>
      </c>
      <c r="B2" s="160"/>
      <c r="C2" s="160"/>
      <c r="D2" s="160"/>
      <c r="E2" s="160"/>
      <c r="F2" s="160"/>
    </row>
    <row r="3" spans="1:6" ht="18.75" x14ac:dyDescent="0.3">
      <c r="A3" s="160" t="s">
        <v>2</v>
      </c>
      <c r="B3" s="160"/>
      <c r="C3" s="160"/>
      <c r="D3" s="160"/>
      <c r="E3" s="160"/>
      <c r="F3" s="160"/>
    </row>
    <row r="4" spans="1:6" ht="18.75" x14ac:dyDescent="0.3">
      <c r="A4" s="160" t="str">
        <f>'Прил. таб. 18'!A4:D4</f>
        <v>от 18 декабря 2019 г. № 51</v>
      </c>
      <c r="B4" s="160"/>
      <c r="C4" s="160"/>
      <c r="D4" s="160"/>
      <c r="E4" s="160"/>
      <c r="F4" s="160"/>
    </row>
    <row r="5" spans="1:6" ht="18.75" x14ac:dyDescent="0.3">
      <c r="A5" s="66"/>
      <c r="B5" s="67"/>
      <c r="C5" s="67"/>
      <c r="D5" s="67"/>
      <c r="E5" s="91"/>
      <c r="F5" s="91"/>
    </row>
    <row r="6" spans="1:6" ht="18.75" x14ac:dyDescent="0.3">
      <c r="A6" s="160" t="s">
        <v>745</v>
      </c>
      <c r="B6" s="160"/>
      <c r="C6" s="160"/>
      <c r="D6" s="160"/>
      <c r="E6" s="160"/>
      <c r="F6" s="160"/>
    </row>
    <row r="7" spans="1:6" ht="18.75" x14ac:dyDescent="0.3">
      <c r="A7" s="160" t="s">
        <v>744</v>
      </c>
      <c r="B7" s="160"/>
      <c r="C7" s="160"/>
      <c r="D7" s="160"/>
      <c r="E7" s="160"/>
      <c r="F7" s="160"/>
    </row>
    <row r="8" spans="1:6" ht="18.75" x14ac:dyDescent="0.3">
      <c r="A8" s="160" t="s">
        <v>2</v>
      </c>
      <c r="B8" s="160"/>
      <c r="C8" s="160"/>
      <c r="D8" s="160"/>
      <c r="E8" s="160"/>
      <c r="F8" s="160"/>
    </row>
    <row r="9" spans="1:6" ht="18.75" customHeight="1" x14ac:dyDescent="0.3">
      <c r="A9" s="160" t="s">
        <v>746</v>
      </c>
      <c r="B9" s="160"/>
      <c r="C9" s="160"/>
      <c r="D9" s="160"/>
      <c r="E9" s="160"/>
      <c r="F9" s="160"/>
    </row>
    <row r="10" spans="1:6" ht="18.75" x14ac:dyDescent="0.3">
      <c r="A10" s="66"/>
      <c r="B10" s="68"/>
      <c r="C10" s="68"/>
      <c r="D10" s="68"/>
      <c r="E10" s="91"/>
      <c r="F10" s="91"/>
    </row>
    <row r="11" spans="1:6" ht="18.75" x14ac:dyDescent="0.3">
      <c r="A11" s="69"/>
      <c r="B11" s="162" t="s">
        <v>769</v>
      </c>
      <c r="C11" s="162"/>
      <c r="D11" s="162"/>
      <c r="E11" s="162"/>
      <c r="F11" s="162"/>
    </row>
    <row r="12" spans="1:6" ht="18.75" x14ac:dyDescent="0.3">
      <c r="A12" s="69"/>
      <c r="B12" s="69"/>
      <c r="C12" s="162"/>
      <c r="D12" s="162"/>
      <c r="E12" s="91"/>
      <c r="F12" s="91"/>
    </row>
    <row r="13" spans="1:6" ht="18.75" x14ac:dyDescent="0.3">
      <c r="A13" s="163" t="s">
        <v>765</v>
      </c>
      <c r="B13" s="163"/>
      <c r="C13" s="163"/>
      <c r="D13" s="163"/>
      <c r="E13" s="163"/>
      <c r="F13" s="163"/>
    </row>
    <row r="14" spans="1:6" x14ac:dyDescent="0.25">
      <c r="A14" s="158" t="s">
        <v>770</v>
      </c>
      <c r="B14" s="158"/>
      <c r="C14" s="158"/>
      <c r="D14" s="158"/>
      <c r="E14" s="158"/>
      <c r="F14" s="158"/>
    </row>
    <row r="15" spans="1:6" ht="26.25" customHeight="1" x14ac:dyDescent="0.25">
      <c r="A15" s="158"/>
      <c r="B15" s="158"/>
      <c r="C15" s="158"/>
      <c r="D15" s="158"/>
      <c r="E15" s="158"/>
      <c r="F15" s="158"/>
    </row>
    <row r="16" spans="1:6" ht="18.75" x14ac:dyDescent="0.3">
      <c r="A16" s="70"/>
      <c r="B16" s="68"/>
      <c r="C16" s="68"/>
      <c r="D16" s="68"/>
      <c r="E16" s="91"/>
      <c r="F16" s="91"/>
    </row>
    <row r="17" spans="1:6" ht="105.75" customHeight="1" x14ac:dyDescent="0.3">
      <c r="A17" s="71" t="s">
        <v>750</v>
      </c>
      <c r="B17" s="71" t="s">
        <v>751</v>
      </c>
      <c r="C17" s="72" t="s">
        <v>752</v>
      </c>
      <c r="D17" s="92" t="s">
        <v>753</v>
      </c>
      <c r="E17" s="72" t="s">
        <v>434</v>
      </c>
      <c r="F17" s="93" t="s">
        <v>771</v>
      </c>
    </row>
    <row r="18" spans="1:6" ht="18.75" x14ac:dyDescent="0.3">
      <c r="A18" s="84" t="s">
        <v>754</v>
      </c>
      <c r="B18" s="74">
        <f>B20+B21</f>
        <v>13.927</v>
      </c>
      <c r="C18" s="74">
        <f t="shared" ref="C18:D18" si="0">C20+C21</f>
        <v>0</v>
      </c>
      <c r="D18" s="74">
        <f t="shared" si="0"/>
        <v>0</v>
      </c>
      <c r="E18" s="74">
        <f>E20+E21</f>
        <v>13.427</v>
      </c>
      <c r="F18" s="74">
        <f>F20+F21</f>
        <v>0.5</v>
      </c>
    </row>
    <row r="19" spans="1:6" ht="18.75" x14ac:dyDescent="0.3">
      <c r="A19" s="86"/>
      <c r="B19" s="77"/>
      <c r="C19" s="88"/>
      <c r="D19" s="79"/>
      <c r="E19" s="94"/>
      <c r="F19" s="95"/>
    </row>
    <row r="20" spans="1:6" ht="18.75" x14ac:dyDescent="0.3">
      <c r="A20" s="86" t="s">
        <v>755</v>
      </c>
      <c r="B20" s="77">
        <f>F20+E20</f>
        <v>2.952</v>
      </c>
      <c r="C20" s="88"/>
      <c r="D20" s="79"/>
      <c r="E20" s="96">
        <f>15.5-12.548</f>
        <v>2.952</v>
      </c>
      <c r="F20" s="97">
        <v>0</v>
      </c>
    </row>
    <row r="21" spans="1:6" ht="18.75" x14ac:dyDescent="0.3">
      <c r="A21" s="89" t="s">
        <v>756</v>
      </c>
      <c r="B21" s="81">
        <f>F21+E21</f>
        <v>10.975</v>
      </c>
      <c r="C21" s="98"/>
      <c r="D21" s="99"/>
      <c r="E21" s="100">
        <f>15.5-5.025</f>
        <v>10.475</v>
      </c>
      <c r="F21" s="101">
        <v>0.5</v>
      </c>
    </row>
  </sheetData>
  <mergeCells count="12">
    <mergeCell ref="A6:F6"/>
    <mergeCell ref="A7:F7"/>
    <mergeCell ref="A8:F8"/>
    <mergeCell ref="A9:F9"/>
    <mergeCell ref="B11:F11"/>
    <mergeCell ref="A14:F15"/>
    <mergeCell ref="C12:D12"/>
    <mergeCell ref="A13:F13"/>
    <mergeCell ref="A1:F1"/>
    <mergeCell ref="A2:F2"/>
    <mergeCell ref="A3:F3"/>
    <mergeCell ref="A4:F4"/>
  </mergeCells>
  <pageMargins left="0.7" right="0.7" top="0.75" bottom="0.75" header="0.3" footer="0.3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4"/>
  <sheetViews>
    <sheetView view="pageBreakPreview" zoomScale="60" zoomScaleNormal="100" workbookViewId="0">
      <selection activeCell="G33" sqref="G33"/>
    </sheetView>
  </sheetViews>
  <sheetFormatPr defaultRowHeight="15" x14ac:dyDescent="0.25"/>
  <cols>
    <col min="1" max="1" width="50.7109375" customWidth="1"/>
    <col min="2" max="2" width="15.28515625" customWidth="1"/>
    <col min="3" max="4" width="0" hidden="1" customWidth="1"/>
    <col min="5" max="5" width="26.7109375" customWidth="1"/>
    <col min="6" max="6" width="26.28515625" customWidth="1"/>
  </cols>
  <sheetData>
    <row r="1" spans="1:6" ht="18.75" x14ac:dyDescent="0.3">
      <c r="A1" s="102"/>
      <c r="B1" s="83"/>
      <c r="C1" s="83"/>
      <c r="D1" s="83"/>
      <c r="E1" s="165" t="s">
        <v>745</v>
      </c>
      <c r="F1" s="165"/>
    </row>
    <row r="2" spans="1:6" ht="18.75" x14ac:dyDescent="0.3">
      <c r="A2" s="102"/>
      <c r="B2" s="83"/>
      <c r="C2" s="83"/>
      <c r="D2" s="83"/>
      <c r="E2" s="165" t="s">
        <v>744</v>
      </c>
      <c r="F2" s="165"/>
    </row>
    <row r="3" spans="1:6" ht="18.75" customHeight="1" x14ac:dyDescent="0.3">
      <c r="A3" s="102"/>
      <c r="B3" s="165" t="s">
        <v>2</v>
      </c>
      <c r="C3" s="165"/>
      <c r="D3" s="165"/>
      <c r="E3" s="165"/>
      <c r="F3" s="165"/>
    </row>
    <row r="4" spans="1:6" ht="18.75" x14ac:dyDescent="0.3">
      <c r="A4" s="166" t="str">
        <f>'Прил. таб. 18'!A4:D4</f>
        <v>от 18 декабря 2019 г. № 51</v>
      </c>
      <c r="B4" s="166"/>
      <c r="C4" s="166"/>
      <c r="D4" s="166"/>
      <c r="E4" s="166"/>
      <c r="F4" s="166"/>
    </row>
    <row r="5" spans="1:6" ht="18.75" x14ac:dyDescent="0.3">
      <c r="A5" s="102"/>
      <c r="B5" s="67"/>
      <c r="C5" s="67"/>
      <c r="D5" s="67"/>
      <c r="E5" s="91"/>
      <c r="F5" s="66"/>
    </row>
    <row r="6" spans="1:6" ht="18.75" x14ac:dyDescent="0.3">
      <c r="A6" s="102"/>
      <c r="B6" s="83"/>
      <c r="C6" s="83"/>
      <c r="D6" s="83"/>
      <c r="E6" s="91"/>
      <c r="F6" s="138" t="s">
        <v>745</v>
      </c>
    </row>
    <row r="7" spans="1:6" ht="18.75" x14ac:dyDescent="0.3">
      <c r="A7" s="160"/>
      <c r="B7" s="161"/>
      <c r="C7" s="161"/>
      <c r="D7" s="161"/>
      <c r="E7" s="167" t="s">
        <v>744</v>
      </c>
      <c r="F7" s="167"/>
    </row>
    <row r="8" spans="1:6" ht="21" customHeight="1" x14ac:dyDescent="0.3">
      <c r="A8" s="160"/>
      <c r="B8" s="161"/>
      <c r="C8" s="161"/>
      <c r="D8" s="161"/>
      <c r="E8" s="166" t="s">
        <v>2</v>
      </c>
      <c r="F8" s="166"/>
    </row>
    <row r="9" spans="1:6" ht="18.75" x14ac:dyDescent="0.3">
      <c r="A9" s="164" t="s">
        <v>772</v>
      </c>
      <c r="B9" s="164"/>
      <c r="C9" s="164"/>
      <c r="D9" s="164"/>
      <c r="E9" s="166" t="s">
        <v>773</v>
      </c>
      <c r="F9" s="166"/>
    </row>
    <row r="10" spans="1:6" ht="18.75" x14ac:dyDescent="0.3">
      <c r="A10" s="66"/>
      <c r="B10" s="68"/>
      <c r="C10" s="68"/>
      <c r="D10" s="68"/>
      <c r="E10" s="103"/>
      <c r="F10" s="103"/>
    </row>
    <row r="11" spans="1:6" ht="18.75" x14ac:dyDescent="0.3">
      <c r="A11" s="69"/>
      <c r="B11" s="91"/>
      <c r="C11" s="91"/>
      <c r="D11" s="91"/>
      <c r="E11" s="162" t="s">
        <v>774</v>
      </c>
      <c r="F11" s="162"/>
    </row>
    <row r="12" spans="1:6" ht="18.75" x14ac:dyDescent="0.3">
      <c r="A12" s="69"/>
      <c r="B12" s="69"/>
      <c r="C12" s="162"/>
      <c r="D12" s="162"/>
      <c r="E12" s="91"/>
      <c r="F12" s="91"/>
    </row>
    <row r="13" spans="1:6" ht="18.75" x14ac:dyDescent="0.3">
      <c r="A13" s="163" t="s">
        <v>765</v>
      </c>
      <c r="B13" s="163"/>
      <c r="C13" s="163"/>
      <c r="D13" s="163"/>
      <c r="E13" s="163"/>
      <c r="F13" s="163"/>
    </row>
    <row r="14" spans="1:6" ht="64.5" customHeight="1" x14ac:dyDescent="0.3">
      <c r="A14" s="158" t="s">
        <v>775</v>
      </c>
      <c r="B14" s="158"/>
      <c r="C14" s="158"/>
      <c r="D14" s="158"/>
      <c r="E14" s="158"/>
      <c r="F14" s="158"/>
    </row>
    <row r="15" spans="1:6" ht="18.75" x14ac:dyDescent="0.3">
      <c r="A15" s="104"/>
      <c r="B15" s="104"/>
      <c r="C15" s="104"/>
      <c r="D15" s="104"/>
      <c r="E15" s="104"/>
      <c r="F15" s="104"/>
    </row>
    <row r="16" spans="1:6" ht="18.75" x14ac:dyDescent="0.3">
      <c r="A16" s="70"/>
      <c r="B16" s="68"/>
      <c r="C16" s="68"/>
      <c r="D16" s="105"/>
      <c r="E16" s="106"/>
      <c r="F16" s="106"/>
    </row>
    <row r="17" spans="1:6" ht="79.5" customHeight="1" x14ac:dyDescent="0.3">
      <c r="A17" s="107" t="s">
        <v>750</v>
      </c>
      <c r="B17" s="107" t="s">
        <v>751</v>
      </c>
      <c r="C17" s="108" t="s">
        <v>752</v>
      </c>
      <c r="D17" s="109" t="s">
        <v>753</v>
      </c>
      <c r="E17" s="108" t="s">
        <v>776</v>
      </c>
      <c r="F17" s="110" t="s">
        <v>777</v>
      </c>
    </row>
    <row r="18" spans="1:6" ht="18.75" x14ac:dyDescent="0.3">
      <c r="A18" s="111" t="s">
        <v>754</v>
      </c>
      <c r="B18" s="112">
        <f>B20+B21+B22+B23+B24</f>
        <v>1198.04412</v>
      </c>
      <c r="C18" s="112">
        <f t="shared" ref="C18:F18" si="0">C20+C21+C22+C23+C24</f>
        <v>0</v>
      </c>
      <c r="D18" s="112">
        <f t="shared" si="0"/>
        <v>0</v>
      </c>
      <c r="E18" s="112">
        <f t="shared" si="0"/>
        <v>0</v>
      </c>
      <c r="F18" s="112">
        <f t="shared" si="0"/>
        <v>1198.04412</v>
      </c>
    </row>
    <row r="19" spans="1:6" ht="18.75" x14ac:dyDescent="0.3">
      <c r="A19" s="76"/>
      <c r="B19" s="77"/>
      <c r="C19" s="113"/>
      <c r="D19" s="113"/>
      <c r="E19" s="114"/>
      <c r="F19" s="94"/>
    </row>
    <row r="20" spans="1:6" ht="18.75" x14ac:dyDescent="0.3">
      <c r="A20" s="76" t="s">
        <v>755</v>
      </c>
      <c r="B20" s="77">
        <f>E20+F20</f>
        <v>299.42</v>
      </c>
      <c r="C20" s="113"/>
      <c r="D20" s="113"/>
      <c r="E20" s="115"/>
      <c r="F20" s="96">
        <f>300-0.58</f>
        <v>299.42</v>
      </c>
    </row>
    <row r="21" spans="1:6" ht="18.75" x14ac:dyDescent="0.3">
      <c r="A21" s="76" t="s">
        <v>778</v>
      </c>
      <c r="B21" s="77">
        <f t="shared" ref="B21:B24" si="1">E21+F21</f>
        <v>89.828040000000001</v>
      </c>
      <c r="C21" s="113"/>
      <c r="D21" s="113"/>
      <c r="E21" s="115"/>
      <c r="F21" s="96">
        <f>90-0.17196</f>
        <v>89.828040000000001</v>
      </c>
    </row>
    <row r="22" spans="1:6" ht="18.75" x14ac:dyDescent="0.3">
      <c r="A22" s="76" t="s">
        <v>779</v>
      </c>
      <c r="B22" s="77">
        <f t="shared" si="1"/>
        <v>179.65608</v>
      </c>
      <c r="C22" s="105"/>
      <c r="D22" s="105"/>
      <c r="E22" s="106"/>
      <c r="F22" s="96">
        <f>180-0.34392</f>
        <v>179.65608</v>
      </c>
    </row>
    <row r="23" spans="1:6" ht="18.75" x14ac:dyDescent="0.3">
      <c r="A23" s="76" t="s">
        <v>780</v>
      </c>
      <c r="B23" s="77">
        <f>E23+F23</f>
        <v>449.14</v>
      </c>
      <c r="C23" s="105"/>
      <c r="D23" s="105"/>
      <c r="E23" s="106"/>
      <c r="F23" s="96">
        <f>450-0.86</f>
        <v>449.14</v>
      </c>
    </row>
    <row r="24" spans="1:6" ht="18.75" x14ac:dyDescent="0.3">
      <c r="A24" s="80" t="s">
        <v>781</v>
      </c>
      <c r="B24" s="81">
        <f t="shared" si="1"/>
        <v>180</v>
      </c>
      <c r="C24" s="116"/>
      <c r="D24" s="116"/>
      <c r="E24" s="116"/>
      <c r="F24" s="100">
        <v>180</v>
      </c>
    </row>
  </sheetData>
  <mergeCells count="14">
    <mergeCell ref="A13:F13"/>
    <mergeCell ref="A14:F14"/>
    <mergeCell ref="A8:D8"/>
    <mergeCell ref="E8:F8"/>
    <mergeCell ref="A9:D9"/>
    <mergeCell ref="E9:F9"/>
    <mergeCell ref="E11:F11"/>
    <mergeCell ref="C12:D12"/>
    <mergeCell ref="E1:F1"/>
    <mergeCell ref="E2:F2"/>
    <mergeCell ref="A7:D7"/>
    <mergeCell ref="E7:F7"/>
    <mergeCell ref="B3:F3"/>
    <mergeCell ref="A4:F4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Прил. 1 (Доходы)</vt:lpstr>
      <vt:lpstr>Прил. 2 (Ведомственная)</vt:lpstr>
      <vt:lpstr>Прил. 3 (Программы)</vt:lpstr>
      <vt:lpstr>Прил. 4 (Источники)</vt:lpstr>
      <vt:lpstr>Прил. 6 (Дотации)</vt:lpstr>
      <vt:lpstr>Прил. таб. 15</vt:lpstr>
      <vt:lpstr>Прил. таб. 18</vt:lpstr>
      <vt:lpstr>Прил. таб. 20</vt:lpstr>
      <vt:lpstr>Прил. таб. 19</vt:lpstr>
      <vt:lpstr>Прил. таб. 7</vt:lpstr>
      <vt:lpstr>Прил. таб. 12</vt:lpstr>
      <vt:lpstr>Прил. таб. 13</vt:lpstr>
      <vt:lpstr>Прил. таб. 16</vt:lpstr>
      <vt:lpstr>Прил. таб. 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2019-12-28T11:24:46Z</dcterms:modified>
</cp:coreProperties>
</file>