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H116" i="1" l="1"/>
  <c r="H114" i="1"/>
  <c r="H113" i="1"/>
  <c r="H111" i="1"/>
  <c r="H109" i="1"/>
  <c r="H108" i="1"/>
  <c r="H107" i="1"/>
  <c r="H106" i="1"/>
  <c r="H105" i="1"/>
  <c r="H103" i="1"/>
  <c r="H102" i="1"/>
  <c r="H101" i="1"/>
  <c r="H100" i="1"/>
  <c r="H99" i="1"/>
  <c r="H98" i="1"/>
  <c r="H96" i="1"/>
  <c r="H95" i="1"/>
  <c r="H94" i="1"/>
  <c r="H92" i="1"/>
  <c r="H91" i="1"/>
  <c r="H90" i="1"/>
  <c r="H89" i="1"/>
  <c r="H87" i="1"/>
  <c r="H86" i="1"/>
  <c r="H85" i="1"/>
  <c r="H83" i="1"/>
  <c r="H82" i="1"/>
  <c r="H80" i="1"/>
  <c r="H79" i="1"/>
  <c r="H77" i="1"/>
  <c r="H75" i="1"/>
  <c r="H73" i="1"/>
  <c r="H71" i="1"/>
  <c r="H70" i="1"/>
  <c r="H69" i="1"/>
  <c r="H68" i="1"/>
  <c r="H67" i="1"/>
  <c r="H66" i="1"/>
  <c r="H65" i="1"/>
  <c r="H64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19" i="1"/>
  <c r="H13" i="1"/>
  <c r="H14" i="1"/>
  <c r="H15" i="1"/>
  <c r="H16" i="1"/>
  <c r="H17" i="1"/>
  <c r="H18" i="1"/>
  <c r="H12" i="1"/>
  <c r="H10" i="1"/>
  <c r="H9" i="1"/>
  <c r="J34" i="1"/>
  <c r="P34" i="1"/>
  <c r="Q34" i="1"/>
  <c r="I34" i="1"/>
  <c r="O67" i="1"/>
  <c r="L67" i="1"/>
  <c r="O30" i="1" l="1"/>
  <c r="Q12" i="1"/>
  <c r="P12" i="1"/>
  <c r="P10" i="1" s="1"/>
  <c r="O12" i="1"/>
  <c r="Q116" i="1"/>
  <c r="Q114" i="1" s="1"/>
  <c r="P116" i="1"/>
  <c r="P114" i="1" s="1"/>
  <c r="Q109" i="1"/>
  <c r="P109" i="1"/>
  <c r="Q103" i="1"/>
  <c r="P103" i="1"/>
  <c r="Q71" i="1"/>
  <c r="P71" i="1"/>
  <c r="Q10" i="1"/>
  <c r="P9" i="1" l="1"/>
  <c r="Q9" i="1"/>
  <c r="O89" i="1"/>
  <c r="O35" i="1"/>
  <c r="O34" i="1" s="1"/>
  <c r="J10" i="1"/>
  <c r="O10" i="1"/>
  <c r="I10" i="1"/>
  <c r="O103" i="1" l="1"/>
  <c r="N117" i="1"/>
  <c r="N118" i="1"/>
  <c r="N89" i="1"/>
  <c r="N75" i="1"/>
  <c r="N41" i="1"/>
  <c r="N36" i="1"/>
  <c r="N35" i="1"/>
  <c r="N13" i="1"/>
  <c r="N12" i="1"/>
  <c r="N119" i="1" l="1"/>
  <c r="N51" i="1"/>
  <c r="N49" i="1"/>
  <c r="N30" i="1"/>
  <c r="N22" i="1"/>
  <c r="N42" i="1" l="1"/>
  <c r="N40" i="1"/>
  <c r="N39" i="1"/>
  <c r="N23" i="1"/>
  <c r="N10" i="1" s="1"/>
  <c r="N16" i="1"/>
  <c r="K108" i="1" l="1"/>
  <c r="K89" i="1"/>
  <c r="K83" i="1"/>
  <c r="K49" i="1"/>
  <c r="K42" i="1"/>
  <c r="K35" i="1"/>
  <c r="K23" i="1"/>
  <c r="K13" i="1"/>
  <c r="K12" i="1"/>
  <c r="L106" i="1" l="1"/>
  <c r="L96" i="1"/>
  <c r="L90" i="1"/>
  <c r="L35" i="1"/>
  <c r="L12" i="1"/>
  <c r="L29" i="1"/>
  <c r="M90" i="1" l="1"/>
  <c r="J71" i="1"/>
  <c r="O71" i="1"/>
  <c r="I71" i="1"/>
  <c r="N90" i="1" l="1"/>
  <c r="N85" i="1" l="1"/>
  <c r="N71" i="1" s="1"/>
  <c r="N116" i="1" l="1"/>
  <c r="O116" i="1"/>
  <c r="N106" i="1"/>
  <c r="N105" i="1"/>
  <c r="N65" i="1"/>
  <c r="N34" i="1" s="1"/>
  <c r="N68" i="1"/>
  <c r="N103" i="1" l="1"/>
  <c r="M12" i="1"/>
  <c r="M85" i="1" l="1"/>
  <c r="M68" i="1"/>
  <c r="M65" i="1"/>
  <c r="M49" i="1"/>
  <c r="M48" i="1"/>
  <c r="M42" i="1"/>
  <c r="M41" i="1"/>
  <c r="M36" i="1"/>
  <c r="M30" i="1"/>
  <c r="M23" i="1"/>
  <c r="M21" i="1"/>
  <c r="M19" i="1"/>
  <c r="M13" i="1"/>
  <c r="M10" i="1" s="1"/>
  <c r="M109" i="1" l="1"/>
  <c r="M106" i="1"/>
  <c r="M105" i="1"/>
  <c r="M83" i="1"/>
  <c r="M57" i="1"/>
  <c r="M54" i="1"/>
  <c r="M71" i="1" l="1"/>
  <c r="H120" i="1"/>
  <c r="M40" i="1"/>
  <c r="M34" i="1" s="1"/>
  <c r="O114" i="1"/>
  <c r="O109" i="1"/>
  <c r="O9" i="1" l="1"/>
  <c r="L66" i="1"/>
  <c r="L42" i="1"/>
  <c r="L36" i="1"/>
  <c r="L21" i="1"/>
  <c r="L32" i="1"/>
  <c r="L13" i="1"/>
  <c r="L51" i="1"/>
  <c r="L23" i="1"/>
  <c r="L111" i="1"/>
  <c r="L82" i="1"/>
  <c r="L10" i="1" l="1"/>
  <c r="L101" i="1"/>
  <c r="L87" i="1"/>
  <c r="L58" i="1"/>
  <c r="L48" i="1"/>
  <c r="L34" i="1" s="1"/>
  <c r="L64" i="1"/>
  <c r="L60" i="1"/>
  <c r="L71" i="1" l="1"/>
  <c r="N114" i="1"/>
  <c r="N109" i="1"/>
  <c r="N9" i="1" l="1"/>
  <c r="K116" i="1"/>
  <c r="K111" i="1"/>
  <c r="K100" i="1"/>
  <c r="K96" i="1"/>
  <c r="K87" i="1"/>
  <c r="K86" i="1"/>
  <c r="K79" i="1"/>
  <c r="K56" i="1"/>
  <c r="K48" i="1"/>
  <c r="K41" i="1"/>
  <c r="K40" i="1"/>
  <c r="K36" i="1"/>
  <c r="K21" i="1"/>
  <c r="K19" i="1"/>
  <c r="K105" i="1"/>
  <c r="K30" i="1"/>
  <c r="K29" i="1"/>
  <c r="K31" i="1"/>
  <c r="K22" i="1"/>
  <c r="K58" i="1" l="1"/>
  <c r="K51" i="1"/>
  <c r="K27" i="1"/>
  <c r="K95" i="1"/>
  <c r="J114" i="1"/>
  <c r="L114" i="1"/>
  <c r="M114" i="1"/>
  <c r="I114" i="1"/>
  <c r="J109" i="1"/>
  <c r="K109" i="1"/>
  <c r="L109" i="1"/>
  <c r="I109" i="1"/>
  <c r="J103" i="1"/>
  <c r="L103" i="1"/>
  <c r="M103" i="1"/>
  <c r="M9" i="1" s="1"/>
  <c r="I103" i="1"/>
  <c r="K34" i="1" l="1"/>
  <c r="K10" i="1"/>
  <c r="I9" i="1"/>
  <c r="K71" i="1"/>
  <c r="L9" i="1"/>
  <c r="K103" i="1"/>
  <c r="K114" i="1"/>
  <c r="J9" i="1"/>
  <c r="K9" i="1" l="1"/>
</calcChain>
</file>

<file path=xl/sharedStrings.xml><?xml version="1.0" encoding="utf-8"?>
<sst xmlns="http://schemas.openxmlformats.org/spreadsheetml/2006/main" count="551" uniqueCount="278">
  <si>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</si>
  <si>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</si>
  <si>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</si>
  <si>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</si>
  <si>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</si>
  <si>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</si>
  <si>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</si>
  <si>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</si>
  <si>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</si>
  <si>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</si>
  <si>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</si>
  <si>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</si>
  <si>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</si>
  <si>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</si>
  <si>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</si>
  <si>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</si>
  <si>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</si>
  <si>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</si>
  <si>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</si>
  <si>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</si>
  <si>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</si>
  <si>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</si>
  <si>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</si>
  <si>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</si>
  <si>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</si>
  <si>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</si>
  <si>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</si>
  <si>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</si>
  <si>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</si>
  <si>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</si>
  <si>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</si>
  <si>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</si>
  <si>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</si>
  <si>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</si>
  <si>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</si>
  <si>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</si>
  <si>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</si>
  <si>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</si>
  <si>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</si>
  <si>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</si>
  <si>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</si>
  <si>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</si>
  <si>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</si>
  <si>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</si>
  <si>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</si>
  <si>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</si>
  <si>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</si>
  <si>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</si>
  <si>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</si>
  <si>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</si>
  <si>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</si>
  <si>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</si>
  <si>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</si>
  <si>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</si>
  <si>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</si>
  <si>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</si>
  <si>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</si>
  <si>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</si>
  <si>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</si>
  <si>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</si>
  <si>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</si>
  <si>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</si>
  <si>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</si>
  <si>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</si>
  <si>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</si>
  <si>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</si>
  <si>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</si>
  <si>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</si>
  <si>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</si>
  <si>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</si>
  <si>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</si>
  <si>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</si>
  <si>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</si>
  <si>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</si>
  <si>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</si>
  <si>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</si>
  <si>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</si>
  <si>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</si>
  <si>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</si>
  <si>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</si>
  <si>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</si>
  <si>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</si>
  <si>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</si>
  <si>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</si>
  <si>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</si>
  <si>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</si>
  <si>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</si>
  <si>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</si>
  <si>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</si>
  <si>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</si>
  <si>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</si>
  <si>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</si>
  <si>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</si>
  <si>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</si>
  <si>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</si>
  <si>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</si>
  <si>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</si>
  <si>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</si>
  <si>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</si>
  <si>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</si>
  <si>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</si>
  <si>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</si>
  <si>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</si>
  <si>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</si>
  <si>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</si>
  <si>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</si>
  <si>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</si>
  <si>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</si>
  <si>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</si>
  <si>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</si>
  <si>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</si>
  <si>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</si>
  <si>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</si>
  <si>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</si>
  <si>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</si>
  <si>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</si>
  <si>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</si>
  <si>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</si>
  <si>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</si>
  <si>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</si>
  <si>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</si>
  <si>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</si>
  <si>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</si>
  <si>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</si>
  <si>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</si>
  <si>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</si>
  <si>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</si>
  <si>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</si>
  <si>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</si>
  <si>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</si>
  <si>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</si>
  <si>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</si>
  <si>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</si>
  <si>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</si>
  <si>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</si>
  <si>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</si>
  <si>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</si>
  <si>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</si>
  <si>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</si>
  <si>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</si>
  <si>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</si>
  <si>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</si>
  <si>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</si>
  <si>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</si>
  <si>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</si>
  <si>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</si>
  <si>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</si>
  <si>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</si>
  <si>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</si>
  <si>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</si>
  <si>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</si>
  <si>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</si>
  <si>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</si>
  <si>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</si>
  <si>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</si>
  <si>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</si>
  <si>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</si>
  <si>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</si>
  <si>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</si>
  <si>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</si>
  <si>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</si>
  <si>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</si>
  <si>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</si>
  <si>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</si>
  <si>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</si>
  <si>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</si>
  <si>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</si>
  <si>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</si>
  <si>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</si>
  <si>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</si>
  <si>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</si>
  <si>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</si>
  <si>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</si>
  <si>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</si>
  <si>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</si>
  <si>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</si>
  <si>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</si>
  <si>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</si>
  <si>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</si>
  <si>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</si>
  <si>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</si>
  <si>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</si>
  <si>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</si>
  <si>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</si>
  <si>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</si>
  <si>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</si>
  <si>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</si>
  <si>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</si>
  <si>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</si>
  <si>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</si>
  <si>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</si>
  <si>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</si>
  <si>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</si>
  <si>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</si>
  <si>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</si>
  <si>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</si>
  <si>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</si>
  <si>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</si>
  <si>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</si>
  <si>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</si>
  <si>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</si>
  <si>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</si>
  <si>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</si>
  <si>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</si>
  <si>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</si>
  <si>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</si>
  <si>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</si>
  <si>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</si>
  <si>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</si>
  <si>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</si>
  <si>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</si>
  <si>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</si>
  <si>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</si>
  <si>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</si>
  <si>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</si>
  <si>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</si>
  <si>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</si>
  <si>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</si>
  <si>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</si>
  <si>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</si>
  <si>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</si>
  <si>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</si>
  <si>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</si>
  <si>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</si>
  <si>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</si>
  <si>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</si>
  <si>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</si>
  <si>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</si>
  <si>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</si>
  <si>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</si>
  <si>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</si>
  <si>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</si>
  <si>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</si>
  <si>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</si>
  <si>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</si>
  <si>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</si>
  <si>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</si>
  <si>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</si>
  <si>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</si>
  <si>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</si>
  <si>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100</t>
  </si>
  <si>
    <t>800</t>
  </si>
  <si>
    <t>Субсидии на открытие дополнительных классов</t>
  </si>
  <si>
    <t>04 2 2У 00000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</si>
  <si>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</si>
  <si>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</si>
  <si>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</si>
  <si>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</si>
  <si>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</si>
  <si>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</si>
  <si>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</si>
  <si>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</si>
  <si>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</si>
  <si>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</si>
  <si>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1.1.4. Обеспечение повышения оплаты труда отдельных категорий работников в сфере образования</t>
  </si>
  <si>
    <t>04 1 1А S2700</t>
  </si>
  <si>
    <t>2.1.4. Обеспечение повышения оплаты труда отдельных категорий работников в сфере образования</t>
  </si>
  <si>
    <t>04 2 2А S2700</t>
  </si>
  <si>
    <t>3.12.3. Мероприятия по организации деятельности по сбору и транспортированию твёрдых коммунальных отходов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</si>
  <si>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</si>
  <si>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</si>
  <si>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Субсидии на реализацию народных проектов в сфере ОБРАЗОВАНИЯ, прошедших отбор в рамках проекта "Народный бюджет""</t>
  </si>
  <si>
    <t xml:space="preserve">4.1.1. Мероприятия по проведению оздоровительной кампании детей </t>
  </si>
  <si>
    <t>4.1.2. Мероприятия по проведению оздоровительной кампании детей</t>
  </si>
  <si>
    <t>Развитие инновационного опыта работы педагогов и образовательных учреждений</t>
  </si>
  <si>
    <t xml:space="preserve">Развитие кадровых ресурсов системы общего образования </t>
  </si>
  <si>
    <t xml:space="preserve">Проведение районных мероприятий </t>
  </si>
  <si>
    <t xml:space="preserve">Выявление и поддержка одаренных детей и молодежи </t>
  </si>
  <si>
    <t>Выполнение противопожарных мероприятий в организациях дополнительного образования</t>
  </si>
  <si>
    <t xml:space="preserve">Приложение №4                            </t>
  </si>
  <si>
    <t>04 2 2Г 51690</t>
  </si>
  <si>
    <t>Реализация народных проектов в сфере образования, прошедших отбор в рамках проекта "Народный бюджет"</t>
  </si>
  <si>
    <t>04 2 2С S2020</t>
  </si>
  <si>
    <t xml:space="preserve">3.12.2. Обеспечение роста уровня  оплаты труда педагогических работников муниципальных организаций дополнительного образования </t>
  </si>
  <si>
    <t>04 4 4Б 00000</t>
  </si>
  <si>
    <t>Основание мероприятие 1.16.</t>
  </si>
  <si>
    <t>04 1 1П S2020</t>
  </si>
  <si>
    <t>Укрепление материально-технической базы организаций в сфере образования в Республике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</si>
</sst>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0"/>
  <sheetViews>
    <sheetView tabSelected="1" zoomScale="75" zoomScaleNormal="75" workbookViewId="0">
      <selection activeCell="H9" sqref="H9"/>
    </sheetView>
  </sheetViews>
  <sheetFormatPr defaultColWidth="8.88671875" defaultRowHeight="13.8" x14ac:dyDescent="0.25"/>
  <cols>
    <col min="1" max="1" width="21.109375" style="8" customWidth="1"/>
    <col min="2" max="2" width="32.6640625" style="8" customWidth="1"/>
    <col min="3" max="3" width="25.44140625" style="8" customWidth="1"/>
    <col min="4" max="7" width="8.88671875" style="8" customWidth="1"/>
    <col min="8" max="10" width="14.44140625" style="8" customWidth="1"/>
    <col min="11" max="11" width="14.44140625" style="2" customWidth="1"/>
    <col min="12" max="12" width="14.44140625" style="8" customWidth="1"/>
    <col min="13" max="14" width="14.44140625" style="19" customWidth="1"/>
    <col min="15" max="17" width="14.44140625" style="8" customWidth="1"/>
    <col min="18" max="16384" width="8.88671875" style="8"/>
  </cols>
  <sheetData>
    <row r="1" spans="1:17" x14ac:dyDescent="0.25">
      <c r="K1" s="31"/>
      <c r="L1" s="31"/>
      <c r="M1" s="31"/>
      <c r="N1" s="57"/>
      <c r="O1" s="31"/>
      <c r="P1" s="31"/>
      <c r="Q1" s="31"/>
    </row>
    <row r="2" spans="1:17" ht="15" customHeight="1" x14ac:dyDescent="0.25">
      <c r="J2" s="32"/>
      <c r="K2" s="32"/>
      <c r="L2" s="32"/>
      <c r="M2" s="83" t="s">
        <v>269</v>
      </c>
      <c r="N2" s="83"/>
      <c r="O2" s="83"/>
      <c r="P2" s="83"/>
      <c r="Q2" s="83"/>
    </row>
    <row r="3" spans="1:17" x14ac:dyDescent="0.25">
      <c r="A3" s="33"/>
      <c r="B3" s="33"/>
      <c r="C3" s="33"/>
      <c r="D3" s="33"/>
      <c r="E3" s="33"/>
      <c r="F3" s="33"/>
      <c r="G3" s="33"/>
      <c r="H3" s="33"/>
      <c r="J3" s="20"/>
      <c r="K3" s="34"/>
      <c r="L3" s="84" t="s">
        <v>239</v>
      </c>
      <c r="M3" s="84"/>
      <c r="N3" s="84"/>
      <c r="O3" s="84"/>
      <c r="P3" s="84"/>
      <c r="Q3" s="84"/>
    </row>
    <row r="4" spans="1:17" x14ac:dyDescent="0.25">
      <c r="A4" s="33"/>
      <c r="B4" s="33"/>
      <c r="C4" s="33"/>
      <c r="D4" s="33"/>
      <c r="E4" s="33"/>
      <c r="F4" s="33"/>
      <c r="G4" s="33"/>
      <c r="H4" s="33"/>
      <c r="I4" s="33"/>
      <c r="J4" s="20"/>
      <c r="K4" s="20"/>
      <c r="L4" s="20"/>
      <c r="M4" s="20"/>
      <c r="N4" s="58"/>
      <c r="O4" s="59"/>
      <c r="P4" s="60"/>
      <c r="Q4" s="60"/>
    </row>
    <row r="5" spans="1:17" ht="15.6" customHeight="1" x14ac:dyDescent="0.3">
      <c r="A5" s="88" t="s">
        <v>206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ht="15.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4"/>
      <c r="N6" s="14"/>
    </row>
    <row r="7" spans="1:17" s="35" customFormat="1" ht="15" customHeight="1" x14ac:dyDescent="0.3">
      <c r="A7" s="90" t="s">
        <v>0</v>
      </c>
      <c r="B7" s="90" t="s">
        <v>1</v>
      </c>
      <c r="C7" s="90" t="s">
        <v>2</v>
      </c>
      <c r="D7" s="85" t="s">
        <v>3</v>
      </c>
      <c r="E7" s="86"/>
      <c r="F7" s="86"/>
      <c r="G7" s="87"/>
      <c r="H7" s="85" t="s">
        <v>8</v>
      </c>
      <c r="I7" s="86"/>
      <c r="J7" s="86"/>
      <c r="K7" s="86"/>
      <c r="L7" s="86"/>
      <c r="M7" s="86"/>
      <c r="N7" s="86"/>
      <c r="O7" s="86"/>
      <c r="P7" s="86"/>
      <c r="Q7" s="87"/>
    </row>
    <row r="8" spans="1:17" s="35" customFormat="1" ht="37.5" customHeight="1" x14ac:dyDescent="0.3">
      <c r="A8" s="91"/>
      <c r="B8" s="91"/>
      <c r="C8" s="91"/>
      <c r="D8" s="36" t="s">
        <v>4</v>
      </c>
      <c r="E8" s="36" t="s">
        <v>5</v>
      </c>
      <c r="F8" s="36" t="s">
        <v>6</v>
      </c>
      <c r="G8" s="36" t="s">
        <v>7</v>
      </c>
      <c r="H8" s="37" t="s">
        <v>9</v>
      </c>
      <c r="I8" s="7">
        <v>2014</v>
      </c>
      <c r="J8" s="7">
        <v>2015</v>
      </c>
      <c r="K8" s="1">
        <v>2016</v>
      </c>
      <c r="L8" s="7">
        <v>2017</v>
      </c>
      <c r="M8" s="15">
        <v>2018</v>
      </c>
      <c r="N8" s="15">
        <v>2019</v>
      </c>
      <c r="O8" s="7">
        <v>2020</v>
      </c>
      <c r="P8" s="15">
        <v>2021</v>
      </c>
      <c r="Q8" s="7">
        <v>2022</v>
      </c>
    </row>
    <row r="9" spans="1:17" s="42" customFormat="1" ht="41.4" x14ac:dyDescent="0.25">
      <c r="A9" s="38" t="s">
        <v>10</v>
      </c>
      <c r="B9" s="38" t="s">
        <v>11</v>
      </c>
      <c r="C9" s="38" t="s">
        <v>12</v>
      </c>
      <c r="D9" s="39">
        <v>975</v>
      </c>
      <c r="E9" s="39"/>
      <c r="F9" s="40" t="s">
        <v>13</v>
      </c>
      <c r="G9" s="39"/>
      <c r="H9" s="41">
        <f>SUM(I9:Q9)</f>
        <v>3634359.3069999996</v>
      </c>
      <c r="I9" s="41">
        <f t="shared" ref="I9:N9" si="0">I10+I34+I71+I103+I109+I114</f>
        <v>386844.53999999992</v>
      </c>
      <c r="J9" s="41">
        <f t="shared" si="0"/>
        <v>390549.0529999999</v>
      </c>
      <c r="K9" s="9">
        <f t="shared" si="0"/>
        <v>367367.46399999992</v>
      </c>
      <c r="L9" s="41">
        <f t="shared" si="0"/>
        <v>391577.37400000001</v>
      </c>
      <c r="M9" s="16">
        <f t="shared" si="0"/>
        <v>421945.16700000002</v>
      </c>
      <c r="N9" s="16">
        <f t="shared" si="0"/>
        <v>416725.09400000004</v>
      </c>
      <c r="O9" s="16">
        <f>O10+O34+O71+O103+O109+O114-0.001</f>
        <v>435298.56699999992</v>
      </c>
      <c r="P9" s="16">
        <f t="shared" ref="P9:Q9" si="1">P10+P34+P71+P103+P109+P114</f>
        <v>423749.35499999998</v>
      </c>
      <c r="Q9" s="16">
        <f t="shared" si="1"/>
        <v>400302.69299999991</v>
      </c>
    </row>
    <row r="10" spans="1:17" s="43" customFormat="1" ht="82.8" x14ac:dyDescent="0.25">
      <c r="A10" s="3" t="s">
        <v>14</v>
      </c>
      <c r="B10" s="3" t="s">
        <v>15</v>
      </c>
      <c r="C10" s="3" t="s">
        <v>16</v>
      </c>
      <c r="D10" s="4"/>
      <c r="E10" s="4"/>
      <c r="F10" s="5" t="s">
        <v>17</v>
      </c>
      <c r="G10" s="4"/>
      <c r="H10" s="10">
        <f>SUM(I10:Q10)</f>
        <v>1257791.4339999999</v>
      </c>
      <c r="I10" s="10">
        <f>I12+I13+I17+I18+I19+I21+I22+I23+I24+I26+I27+I28+I29+I30+I31+I32+I14+I15+I16+I33</f>
        <v>140952.07</v>
      </c>
      <c r="J10" s="10">
        <f t="shared" ref="J10:O10" si="2">J12+J13+J17+J18+J19+J21+J22+J23+J24+J26+J27+J28+J29+J30+J31+J32+J14+J15+J16+J33</f>
        <v>119768.17000000001</v>
      </c>
      <c r="K10" s="10">
        <f t="shared" si="2"/>
        <v>126152.49799999998</v>
      </c>
      <c r="L10" s="10">
        <f t="shared" si="2"/>
        <v>134580.51300000001</v>
      </c>
      <c r="M10" s="10">
        <f t="shared" si="2"/>
        <v>151477.12099999998</v>
      </c>
      <c r="N10" s="10">
        <f t="shared" si="2"/>
        <v>147012.424</v>
      </c>
      <c r="O10" s="10">
        <f t="shared" si="2"/>
        <v>153366.462</v>
      </c>
      <c r="P10" s="10">
        <f t="shared" ref="P10:Q10" si="3">P12+P13+P17+P18+P19+P21+P22+P23+P24+P26+P27+P28+P29+P30+P31+P32+P14+P15+P16+P33</f>
        <v>152150.38800000001</v>
      </c>
      <c r="Q10" s="10">
        <f t="shared" si="3"/>
        <v>132331.788</v>
      </c>
    </row>
    <row r="11" spans="1:17" ht="30.75" customHeight="1" x14ac:dyDescent="0.25">
      <c r="A11" s="23" t="s">
        <v>18</v>
      </c>
      <c r="B11" s="64" t="s">
        <v>19</v>
      </c>
      <c r="C11" s="65"/>
      <c r="D11" s="24"/>
      <c r="E11" s="24"/>
      <c r="F11" s="44"/>
      <c r="G11" s="24"/>
      <c r="H11" s="12"/>
      <c r="I11" s="12"/>
      <c r="J11" s="12"/>
      <c r="K11" s="11"/>
      <c r="L11" s="12"/>
      <c r="M11" s="18"/>
      <c r="N11" s="18"/>
      <c r="O11" s="12"/>
      <c r="P11" s="12"/>
      <c r="Q11" s="12"/>
    </row>
    <row r="12" spans="1:17" ht="84.75" customHeight="1" x14ac:dyDescent="0.25">
      <c r="A12" s="66" t="s">
        <v>20</v>
      </c>
      <c r="B12" s="23" t="s">
        <v>21</v>
      </c>
      <c r="C12" s="45" t="s">
        <v>12</v>
      </c>
      <c r="D12" s="24">
        <v>975</v>
      </c>
      <c r="E12" s="25" t="s">
        <v>22</v>
      </c>
      <c r="F12" s="26" t="s">
        <v>23</v>
      </c>
      <c r="G12" s="25" t="s">
        <v>24</v>
      </c>
      <c r="H12" s="12">
        <f>SUM(I12:Q12)</f>
        <v>405383.31899999996</v>
      </c>
      <c r="I12" s="12">
        <v>40844.574000000001</v>
      </c>
      <c r="J12" s="12">
        <v>34832.400000000001</v>
      </c>
      <c r="K12" s="11">
        <f>40788.435</f>
        <v>40788.434999999998</v>
      </c>
      <c r="L12" s="12">
        <f>37667.7+352.4-124.891+6802.97+500.001+1822.15+0.005</f>
        <v>47020.334999999992</v>
      </c>
      <c r="M12" s="18">
        <f>47551.685</f>
        <v>47551.684999999998</v>
      </c>
      <c r="N12" s="18">
        <f>58862.508-573.715-40.769+6.575+17.63-5290</f>
        <v>52982.228999999999</v>
      </c>
      <c r="O12" s="12">
        <f>53367.018+1263.607-1</f>
        <v>54629.625</v>
      </c>
      <c r="P12" s="12">
        <f>53367.018</f>
        <v>53367.017999999996</v>
      </c>
      <c r="Q12" s="12">
        <f>33367.018</f>
        <v>33367.017999999996</v>
      </c>
    </row>
    <row r="13" spans="1:17" ht="85.5" customHeight="1" x14ac:dyDescent="0.25">
      <c r="A13" s="68"/>
      <c r="B13" s="23" t="s">
        <v>25</v>
      </c>
      <c r="C13" s="45" t="s">
        <v>12</v>
      </c>
      <c r="D13" s="24">
        <v>975</v>
      </c>
      <c r="E13" s="25" t="s">
        <v>22</v>
      </c>
      <c r="F13" s="26" t="s">
        <v>32</v>
      </c>
      <c r="G13" s="25" t="s">
        <v>24</v>
      </c>
      <c r="H13" s="12">
        <f t="shared" ref="H13:H18" si="4">SUM(I13:Q13)</f>
        <v>778911.33</v>
      </c>
      <c r="I13" s="12">
        <v>92730.4</v>
      </c>
      <c r="J13" s="12">
        <v>72773.273000000001</v>
      </c>
      <c r="K13" s="11">
        <f>72275.828</f>
        <v>72275.827999999994</v>
      </c>
      <c r="L13" s="12">
        <f>74522-8.25-1500</f>
        <v>73013.75</v>
      </c>
      <c r="M13" s="18">
        <f>87277.6+8328.9</f>
        <v>95606.5</v>
      </c>
      <c r="N13" s="18">
        <f>79777.74+2784+4381.429</f>
        <v>86943.169000000009</v>
      </c>
      <c r="O13" s="12">
        <v>95189.47</v>
      </c>
      <c r="P13" s="12">
        <v>95189.47</v>
      </c>
      <c r="Q13" s="12">
        <v>95189.47</v>
      </c>
    </row>
    <row r="14" spans="1:17" ht="64.5" customHeight="1" x14ac:dyDescent="0.25">
      <c r="A14" s="68"/>
      <c r="B14" s="23" t="s">
        <v>245</v>
      </c>
      <c r="C14" s="23" t="s">
        <v>12</v>
      </c>
      <c r="D14" s="24">
        <v>975</v>
      </c>
      <c r="E14" s="25" t="s">
        <v>22</v>
      </c>
      <c r="F14" s="26" t="s">
        <v>244</v>
      </c>
      <c r="G14" s="25" t="s">
        <v>24</v>
      </c>
      <c r="H14" s="12">
        <f t="shared" si="4"/>
        <v>67.316000000000003</v>
      </c>
      <c r="I14" s="12">
        <v>0</v>
      </c>
      <c r="J14" s="12">
        <v>0</v>
      </c>
      <c r="K14" s="11">
        <v>0</v>
      </c>
      <c r="L14" s="12">
        <v>0</v>
      </c>
      <c r="M14" s="18">
        <v>0</v>
      </c>
      <c r="N14" s="18">
        <v>67.316000000000003</v>
      </c>
      <c r="O14" s="12">
        <v>0</v>
      </c>
      <c r="P14" s="12">
        <v>0</v>
      </c>
      <c r="Q14" s="12">
        <v>0</v>
      </c>
    </row>
    <row r="15" spans="1:17" ht="64.5" customHeight="1" x14ac:dyDescent="0.25">
      <c r="A15" s="68"/>
      <c r="B15" s="23" t="s">
        <v>245</v>
      </c>
      <c r="C15" s="23" t="s">
        <v>12</v>
      </c>
      <c r="D15" s="24">
        <v>975</v>
      </c>
      <c r="E15" s="25" t="s">
        <v>22</v>
      </c>
      <c r="F15" s="26" t="s">
        <v>244</v>
      </c>
      <c r="G15" s="25" t="s">
        <v>24</v>
      </c>
      <c r="H15" s="12">
        <f t="shared" si="4"/>
        <v>67.316000000000003</v>
      </c>
      <c r="I15" s="12">
        <v>0</v>
      </c>
      <c r="J15" s="12">
        <v>0</v>
      </c>
      <c r="K15" s="11">
        <v>0</v>
      </c>
      <c r="L15" s="12">
        <v>0</v>
      </c>
      <c r="M15" s="18">
        <v>0</v>
      </c>
      <c r="N15" s="18">
        <v>67.316000000000003</v>
      </c>
      <c r="O15" s="12">
        <v>0</v>
      </c>
      <c r="P15" s="12">
        <v>0</v>
      </c>
      <c r="Q15" s="12">
        <v>0</v>
      </c>
    </row>
    <row r="16" spans="1:17" ht="64.5" customHeight="1" x14ac:dyDescent="0.25">
      <c r="A16" s="68"/>
      <c r="B16" s="27" t="s">
        <v>254</v>
      </c>
      <c r="C16" s="27" t="s">
        <v>12</v>
      </c>
      <c r="D16" s="28">
        <v>975</v>
      </c>
      <c r="E16" s="29" t="s">
        <v>22</v>
      </c>
      <c r="F16" s="30" t="s">
        <v>255</v>
      </c>
      <c r="G16" s="29" t="s">
        <v>24</v>
      </c>
      <c r="H16" s="12">
        <f t="shared" si="4"/>
        <v>3419.3939999999993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f>40.769+4036.2-657.575</f>
        <v>3419.3939999999993</v>
      </c>
      <c r="O16" s="18">
        <v>0</v>
      </c>
      <c r="P16" s="18">
        <v>0</v>
      </c>
      <c r="Q16" s="18">
        <v>0</v>
      </c>
    </row>
    <row r="17" spans="1:17" ht="41.4" x14ac:dyDescent="0.25">
      <c r="A17" s="89" t="s">
        <v>28</v>
      </c>
      <c r="B17" s="23" t="s">
        <v>246</v>
      </c>
      <c r="C17" s="23" t="s">
        <v>12</v>
      </c>
      <c r="D17" s="24"/>
      <c r="E17" s="25"/>
      <c r="F17" s="26"/>
      <c r="G17" s="25"/>
      <c r="H17" s="12">
        <f t="shared" si="4"/>
        <v>0</v>
      </c>
      <c r="I17" s="12">
        <v>0</v>
      </c>
      <c r="J17" s="12">
        <v>0</v>
      </c>
      <c r="K17" s="11">
        <v>0</v>
      </c>
      <c r="L17" s="12">
        <v>0</v>
      </c>
      <c r="M17" s="18">
        <v>0</v>
      </c>
      <c r="N17" s="18">
        <v>0</v>
      </c>
      <c r="O17" s="12">
        <v>0</v>
      </c>
      <c r="P17" s="12">
        <v>0</v>
      </c>
      <c r="Q17" s="12">
        <v>0</v>
      </c>
    </row>
    <row r="18" spans="1:17" ht="96.6" x14ac:dyDescent="0.25">
      <c r="A18" s="89"/>
      <c r="B18" s="23" t="s">
        <v>26</v>
      </c>
      <c r="C18" s="23" t="s">
        <v>12</v>
      </c>
      <c r="D18" s="24">
        <v>975</v>
      </c>
      <c r="E18" s="25" t="s">
        <v>22</v>
      </c>
      <c r="F18" s="26" t="s">
        <v>27</v>
      </c>
      <c r="G18" s="25" t="s">
        <v>24</v>
      </c>
      <c r="H18" s="12">
        <f t="shared" si="4"/>
        <v>103.2</v>
      </c>
      <c r="I18" s="12">
        <v>103.2</v>
      </c>
      <c r="J18" s="12">
        <v>0</v>
      </c>
      <c r="K18" s="11">
        <v>0</v>
      </c>
      <c r="L18" s="12">
        <v>0</v>
      </c>
      <c r="M18" s="18">
        <v>0</v>
      </c>
      <c r="N18" s="18">
        <v>0</v>
      </c>
      <c r="O18" s="12">
        <v>0</v>
      </c>
      <c r="P18" s="12">
        <v>0</v>
      </c>
      <c r="Q18" s="12">
        <v>0</v>
      </c>
    </row>
    <row r="19" spans="1:17" ht="124.2" x14ac:dyDescent="0.25">
      <c r="A19" s="23" t="s">
        <v>29</v>
      </c>
      <c r="B19" s="23" t="s">
        <v>30</v>
      </c>
      <c r="C19" s="23" t="s">
        <v>12</v>
      </c>
      <c r="D19" s="24">
        <v>975</v>
      </c>
      <c r="E19" s="25" t="s">
        <v>140</v>
      </c>
      <c r="F19" s="26" t="s">
        <v>31</v>
      </c>
      <c r="G19" s="25" t="s">
        <v>24</v>
      </c>
      <c r="H19" s="12">
        <f>SUM(I19:Q19)</f>
        <v>33162.623999999996</v>
      </c>
      <c r="I19" s="12">
        <v>2540.1239999999998</v>
      </c>
      <c r="J19" s="12">
        <v>5781.6</v>
      </c>
      <c r="K19" s="11">
        <f>4317.4</f>
        <v>4317.3999999999996</v>
      </c>
      <c r="L19" s="12">
        <v>4544</v>
      </c>
      <c r="M19" s="18">
        <f>4168.5-1601.5</f>
        <v>2567</v>
      </c>
      <c r="N19" s="18">
        <v>2883.2</v>
      </c>
      <c r="O19" s="12">
        <v>3347.7</v>
      </c>
      <c r="P19" s="12">
        <v>3500.1</v>
      </c>
      <c r="Q19" s="12">
        <v>3681.5</v>
      </c>
    </row>
    <row r="20" spans="1:17" ht="30.75" customHeight="1" x14ac:dyDescent="0.25">
      <c r="A20" s="23" t="s">
        <v>18</v>
      </c>
      <c r="B20" s="64" t="s">
        <v>33</v>
      </c>
      <c r="C20" s="65"/>
      <c r="D20" s="24"/>
      <c r="E20" s="25"/>
      <c r="F20" s="26"/>
      <c r="G20" s="25"/>
      <c r="H20" s="12"/>
      <c r="I20" s="12"/>
      <c r="J20" s="12"/>
      <c r="K20" s="11"/>
      <c r="L20" s="12"/>
      <c r="M20" s="18"/>
      <c r="N20" s="18"/>
      <c r="O20" s="12"/>
      <c r="P20" s="12"/>
      <c r="Q20" s="12"/>
    </row>
    <row r="21" spans="1:17" ht="41.4" x14ac:dyDescent="0.25">
      <c r="A21" s="23" t="s">
        <v>34</v>
      </c>
      <c r="B21" s="23" t="s">
        <v>35</v>
      </c>
      <c r="C21" s="23" t="s">
        <v>12</v>
      </c>
      <c r="D21" s="24">
        <v>975</v>
      </c>
      <c r="E21" s="25" t="s">
        <v>22</v>
      </c>
      <c r="F21" s="26" t="s">
        <v>36</v>
      </c>
      <c r="G21" s="25" t="s">
        <v>24</v>
      </c>
      <c r="H21" s="12">
        <f t="shared" ref="H21:H24" si="5">SUM(I21:Q21)</f>
        <v>17466.357</v>
      </c>
      <c r="I21" s="12">
        <v>0</v>
      </c>
      <c r="J21" s="12">
        <v>2996.82</v>
      </c>
      <c r="K21" s="11">
        <f>5219.999</f>
        <v>5219.9989999999998</v>
      </c>
      <c r="L21" s="12">
        <f>2500-794.923+4884.641-249.26-339.872</f>
        <v>6000.5859999999993</v>
      </c>
      <c r="M21" s="18">
        <f>3249.496-0.544</f>
        <v>3248.9520000000002</v>
      </c>
      <c r="N21" s="18">
        <v>0</v>
      </c>
      <c r="O21" s="12">
        <v>0</v>
      </c>
      <c r="P21" s="12">
        <v>0</v>
      </c>
      <c r="Q21" s="12">
        <v>0</v>
      </c>
    </row>
    <row r="22" spans="1:17" ht="41.4" x14ac:dyDescent="0.25">
      <c r="A22" s="23" t="s">
        <v>37</v>
      </c>
      <c r="B22" s="23" t="s">
        <v>38</v>
      </c>
      <c r="C22" s="23" t="s">
        <v>12</v>
      </c>
      <c r="D22" s="24">
        <v>975</v>
      </c>
      <c r="E22" s="25" t="s">
        <v>22</v>
      </c>
      <c r="F22" s="26" t="s">
        <v>39</v>
      </c>
      <c r="G22" s="25" t="s">
        <v>24</v>
      </c>
      <c r="H22" s="12">
        <f t="shared" si="5"/>
        <v>4130.6490000000003</v>
      </c>
      <c r="I22" s="12">
        <v>725</v>
      </c>
      <c r="J22" s="12">
        <v>730</v>
      </c>
      <c r="K22" s="11">
        <f>818</f>
        <v>818</v>
      </c>
      <c r="L22" s="12">
        <v>704.44899999999996</v>
      </c>
      <c r="M22" s="18">
        <v>700</v>
      </c>
      <c r="N22" s="18">
        <f>125+290</f>
        <v>415</v>
      </c>
      <c r="O22" s="12">
        <v>38.200000000000003</v>
      </c>
      <c r="P22" s="12">
        <v>0</v>
      </c>
      <c r="Q22" s="12">
        <v>0</v>
      </c>
    </row>
    <row r="23" spans="1:17" ht="55.2" x14ac:dyDescent="0.25">
      <c r="A23" s="66" t="s">
        <v>42</v>
      </c>
      <c r="B23" s="23" t="s">
        <v>40</v>
      </c>
      <c r="C23" s="23" t="s">
        <v>12</v>
      </c>
      <c r="D23" s="24">
        <v>975</v>
      </c>
      <c r="E23" s="25" t="s">
        <v>22</v>
      </c>
      <c r="F23" s="26" t="s">
        <v>43</v>
      </c>
      <c r="G23" s="25" t="s">
        <v>24</v>
      </c>
      <c r="H23" s="12">
        <f t="shared" si="5"/>
        <v>5167.9110000000001</v>
      </c>
      <c r="I23" s="12">
        <v>865.43499999999995</v>
      </c>
      <c r="J23" s="12">
        <v>2124.6419999999998</v>
      </c>
      <c r="K23" s="11">
        <f>700.424</f>
        <v>700.42399999999998</v>
      </c>
      <c r="L23" s="12">
        <f>600-178.4-83.538-48.152+4</f>
        <v>293.91000000000003</v>
      </c>
      <c r="M23" s="18">
        <f>1046.5-4</f>
        <v>1042.5</v>
      </c>
      <c r="N23" s="18">
        <f>29+42+70</f>
        <v>141</v>
      </c>
      <c r="O23" s="12">
        <v>0</v>
      </c>
      <c r="P23" s="12">
        <v>0</v>
      </c>
      <c r="Q23" s="12">
        <v>0</v>
      </c>
    </row>
    <row r="24" spans="1:17" ht="55.2" x14ac:dyDescent="0.25">
      <c r="A24" s="67"/>
      <c r="B24" s="23" t="s">
        <v>41</v>
      </c>
      <c r="C24" s="23" t="s">
        <v>12</v>
      </c>
      <c r="D24" s="24">
        <v>975</v>
      </c>
      <c r="E24" s="25" t="s">
        <v>22</v>
      </c>
      <c r="F24" s="26" t="s">
        <v>44</v>
      </c>
      <c r="G24" s="25" t="s">
        <v>24</v>
      </c>
      <c r="H24" s="12">
        <f t="shared" si="5"/>
        <v>236.86099999999999</v>
      </c>
      <c r="I24" s="12">
        <v>236.86099999999999</v>
      </c>
      <c r="J24" s="12">
        <v>0</v>
      </c>
      <c r="K24" s="11">
        <v>0</v>
      </c>
      <c r="L24" s="12">
        <v>0</v>
      </c>
      <c r="M24" s="18">
        <v>0</v>
      </c>
      <c r="N24" s="18">
        <v>0</v>
      </c>
      <c r="O24" s="12">
        <v>0</v>
      </c>
      <c r="P24" s="12">
        <v>0</v>
      </c>
      <c r="Q24" s="12">
        <v>0</v>
      </c>
    </row>
    <row r="25" spans="1:17" ht="30.75" customHeight="1" x14ac:dyDescent="0.25">
      <c r="A25" s="23" t="s">
        <v>18</v>
      </c>
      <c r="B25" s="64" t="s">
        <v>45</v>
      </c>
      <c r="C25" s="65"/>
      <c r="D25" s="24"/>
      <c r="E25" s="25"/>
      <c r="F25" s="26"/>
      <c r="G25" s="25"/>
      <c r="H25" s="12"/>
      <c r="I25" s="12"/>
      <c r="J25" s="12"/>
      <c r="K25" s="11"/>
      <c r="L25" s="12"/>
      <c r="M25" s="18"/>
      <c r="N25" s="18"/>
      <c r="O25" s="12"/>
      <c r="P25" s="12"/>
      <c r="Q25" s="12"/>
    </row>
    <row r="26" spans="1:17" ht="74.25" customHeight="1" x14ac:dyDescent="0.25">
      <c r="A26" s="23" t="s">
        <v>46</v>
      </c>
      <c r="B26" s="23" t="s">
        <v>47</v>
      </c>
      <c r="C26" s="23" t="s">
        <v>12</v>
      </c>
      <c r="D26" s="24">
        <v>975</v>
      </c>
      <c r="E26" s="25" t="s">
        <v>22</v>
      </c>
      <c r="F26" s="26" t="s">
        <v>48</v>
      </c>
      <c r="G26" s="25" t="s">
        <v>52</v>
      </c>
      <c r="H26" s="12">
        <f t="shared" ref="H26:H33" si="6">SUM(I26:Q26)</f>
        <v>55</v>
      </c>
      <c r="I26" s="12">
        <v>15</v>
      </c>
      <c r="J26" s="12">
        <v>15</v>
      </c>
      <c r="K26" s="11">
        <v>15</v>
      </c>
      <c r="L26" s="12">
        <v>5</v>
      </c>
      <c r="M26" s="18">
        <v>5</v>
      </c>
      <c r="N26" s="18">
        <v>0</v>
      </c>
      <c r="O26" s="12">
        <v>0</v>
      </c>
      <c r="P26" s="12">
        <v>0</v>
      </c>
      <c r="Q26" s="12">
        <v>0</v>
      </c>
    </row>
    <row r="27" spans="1:17" ht="151.5" customHeight="1" x14ac:dyDescent="0.25">
      <c r="A27" s="23" t="s">
        <v>49</v>
      </c>
      <c r="B27" s="23" t="s">
        <v>50</v>
      </c>
      <c r="C27" s="23" t="s">
        <v>12</v>
      </c>
      <c r="D27" s="24">
        <v>975</v>
      </c>
      <c r="E27" s="25" t="s">
        <v>22</v>
      </c>
      <c r="F27" s="26" t="s">
        <v>51</v>
      </c>
      <c r="G27" s="25" t="s">
        <v>194</v>
      </c>
      <c r="H27" s="12">
        <f t="shared" si="6"/>
        <v>986</v>
      </c>
      <c r="I27" s="12">
        <v>386</v>
      </c>
      <c r="J27" s="12">
        <v>310</v>
      </c>
      <c r="K27" s="11">
        <f>386-80-16</f>
        <v>290</v>
      </c>
      <c r="L27" s="12">
        <v>0</v>
      </c>
      <c r="M27" s="18">
        <v>0</v>
      </c>
      <c r="N27" s="18">
        <v>0</v>
      </c>
      <c r="O27" s="12">
        <v>0</v>
      </c>
      <c r="P27" s="12">
        <v>0</v>
      </c>
      <c r="Q27" s="12">
        <v>0</v>
      </c>
    </row>
    <row r="28" spans="1:17" ht="43.2" x14ac:dyDescent="0.25">
      <c r="A28" s="23" t="s">
        <v>55</v>
      </c>
      <c r="B28" s="23" t="s">
        <v>35</v>
      </c>
      <c r="C28" s="23" t="s">
        <v>12</v>
      </c>
      <c r="D28" s="24">
        <v>975</v>
      </c>
      <c r="E28" s="25" t="s">
        <v>22</v>
      </c>
      <c r="F28" s="26" t="s">
        <v>54</v>
      </c>
      <c r="G28" s="25" t="s">
        <v>24</v>
      </c>
      <c r="H28" s="12">
        <f t="shared" si="6"/>
        <v>1994.664</v>
      </c>
      <c r="I28" s="12">
        <v>1994.664</v>
      </c>
      <c r="J28" s="12">
        <v>0</v>
      </c>
      <c r="K28" s="11">
        <v>0</v>
      </c>
      <c r="L28" s="12">
        <v>0</v>
      </c>
      <c r="M28" s="18">
        <v>0</v>
      </c>
      <c r="N28" s="18">
        <v>0</v>
      </c>
      <c r="O28" s="12">
        <v>0</v>
      </c>
      <c r="P28" s="12">
        <v>0</v>
      </c>
      <c r="Q28" s="12">
        <v>0</v>
      </c>
    </row>
    <row r="29" spans="1:17" ht="41.4" x14ac:dyDescent="0.25">
      <c r="A29" s="23" t="s">
        <v>56</v>
      </c>
      <c r="B29" s="23" t="s">
        <v>57</v>
      </c>
      <c r="C29" s="23" t="s">
        <v>12</v>
      </c>
      <c r="D29" s="24">
        <v>975</v>
      </c>
      <c r="E29" s="25" t="s">
        <v>22</v>
      </c>
      <c r="F29" s="26" t="s">
        <v>189</v>
      </c>
      <c r="G29" s="25" t="s">
        <v>24</v>
      </c>
      <c r="H29" s="12">
        <f t="shared" si="6"/>
        <v>2974.4059999999999</v>
      </c>
      <c r="I29" s="12">
        <v>510.81200000000001</v>
      </c>
      <c r="J29" s="12">
        <v>117.4</v>
      </c>
      <c r="K29" s="11">
        <f>1293.548</f>
        <v>1293.548</v>
      </c>
      <c r="L29" s="12">
        <f>86.7+91.3+48.864+183.7-20+7.708</f>
        <v>398.27199999999999</v>
      </c>
      <c r="M29" s="18">
        <v>654.37400000000002</v>
      </c>
      <c r="N29" s="18">
        <v>0</v>
      </c>
      <c r="O29" s="12">
        <v>0</v>
      </c>
      <c r="P29" s="12">
        <v>0</v>
      </c>
      <c r="Q29" s="12">
        <v>0</v>
      </c>
    </row>
    <row r="30" spans="1:17" ht="42.6" x14ac:dyDescent="0.25">
      <c r="A30" s="23" t="s">
        <v>58</v>
      </c>
      <c r="B30" s="23" t="s">
        <v>59</v>
      </c>
      <c r="C30" s="23" t="s">
        <v>12</v>
      </c>
      <c r="D30" s="24">
        <v>975</v>
      </c>
      <c r="E30" s="25" t="s">
        <v>22</v>
      </c>
      <c r="F30" s="26" t="s">
        <v>60</v>
      </c>
      <c r="G30" s="25" t="s">
        <v>24</v>
      </c>
      <c r="H30" s="12">
        <f t="shared" si="6"/>
        <v>768.42</v>
      </c>
      <c r="I30" s="12">
        <v>0</v>
      </c>
      <c r="J30" s="12">
        <v>87.034999999999997</v>
      </c>
      <c r="K30" s="11">
        <f>103.864</f>
        <v>103.864</v>
      </c>
      <c r="L30" s="12">
        <v>100.211</v>
      </c>
      <c r="M30" s="18">
        <f>106.6-5.49</f>
        <v>101.11</v>
      </c>
      <c r="N30" s="18">
        <f>103.2-10.48+1.08</f>
        <v>93.8</v>
      </c>
      <c r="O30" s="12">
        <f>93.8+1</f>
        <v>94.8</v>
      </c>
      <c r="P30" s="12">
        <v>93.8</v>
      </c>
      <c r="Q30" s="12">
        <v>93.8</v>
      </c>
    </row>
    <row r="31" spans="1:17" ht="55.2" x14ac:dyDescent="0.25">
      <c r="A31" s="23" t="s">
        <v>190</v>
      </c>
      <c r="B31" s="23" t="s">
        <v>197</v>
      </c>
      <c r="C31" s="23" t="s">
        <v>12</v>
      </c>
      <c r="D31" s="24">
        <v>975</v>
      </c>
      <c r="E31" s="25" t="s">
        <v>22</v>
      </c>
      <c r="F31" s="26" t="s">
        <v>191</v>
      </c>
      <c r="G31" s="25" t="s">
        <v>24</v>
      </c>
      <c r="H31" s="12">
        <f t="shared" si="6"/>
        <v>330</v>
      </c>
      <c r="I31" s="12">
        <v>0</v>
      </c>
      <c r="J31" s="12">
        <v>0</v>
      </c>
      <c r="K31" s="11">
        <f>200+30+100</f>
        <v>330</v>
      </c>
      <c r="L31" s="12">
        <v>0</v>
      </c>
      <c r="M31" s="18">
        <v>0</v>
      </c>
      <c r="N31" s="18">
        <v>0</v>
      </c>
      <c r="O31" s="12">
        <v>0</v>
      </c>
      <c r="P31" s="12">
        <v>0</v>
      </c>
      <c r="Q31" s="12">
        <v>0</v>
      </c>
    </row>
    <row r="32" spans="1:17" ht="41.4" x14ac:dyDescent="0.25">
      <c r="A32" s="23" t="s">
        <v>217</v>
      </c>
      <c r="B32" s="23" t="s">
        <v>218</v>
      </c>
      <c r="C32" s="23" t="s">
        <v>12</v>
      </c>
      <c r="D32" s="24">
        <v>975</v>
      </c>
      <c r="E32" s="25" t="s">
        <v>22</v>
      </c>
      <c r="F32" s="26" t="s">
        <v>219</v>
      </c>
      <c r="G32" s="25" t="s">
        <v>24</v>
      </c>
      <c r="H32" s="12">
        <f t="shared" si="6"/>
        <v>2500</v>
      </c>
      <c r="I32" s="12">
        <v>0</v>
      </c>
      <c r="J32" s="12">
        <v>0</v>
      </c>
      <c r="K32" s="11">
        <v>0</v>
      </c>
      <c r="L32" s="12">
        <f>1000+1500</f>
        <v>2500</v>
      </c>
      <c r="M32" s="18">
        <v>0</v>
      </c>
      <c r="N32" s="18">
        <v>0</v>
      </c>
      <c r="O32" s="12">
        <v>0</v>
      </c>
      <c r="P32" s="12">
        <v>0</v>
      </c>
      <c r="Q32" s="12">
        <v>0</v>
      </c>
    </row>
    <row r="33" spans="1:17" ht="55.2" x14ac:dyDescent="0.25">
      <c r="A33" s="23" t="s">
        <v>275</v>
      </c>
      <c r="B33" s="23" t="s">
        <v>271</v>
      </c>
      <c r="C33" s="23" t="s">
        <v>12</v>
      </c>
      <c r="D33" s="61">
        <v>975</v>
      </c>
      <c r="E33" s="25" t="s">
        <v>22</v>
      </c>
      <c r="F33" s="26" t="s">
        <v>276</v>
      </c>
      <c r="G33" s="25" t="s">
        <v>24</v>
      </c>
      <c r="H33" s="12">
        <f t="shared" si="6"/>
        <v>66.667000000000002</v>
      </c>
      <c r="I33" s="12">
        <v>0</v>
      </c>
      <c r="J33" s="12">
        <v>0</v>
      </c>
      <c r="K33" s="11">
        <v>0</v>
      </c>
      <c r="L33" s="12">
        <v>0</v>
      </c>
      <c r="M33" s="18">
        <v>0</v>
      </c>
      <c r="N33" s="18">
        <v>0</v>
      </c>
      <c r="O33" s="12">
        <v>66.667000000000002</v>
      </c>
      <c r="P33" s="12">
        <v>0</v>
      </c>
      <c r="Q33" s="12">
        <v>0</v>
      </c>
    </row>
    <row r="34" spans="1:17" ht="72.599999999999994" x14ac:dyDescent="0.25">
      <c r="A34" s="3" t="s">
        <v>61</v>
      </c>
      <c r="B34" s="3" t="s">
        <v>62</v>
      </c>
      <c r="C34" s="3" t="s">
        <v>223</v>
      </c>
      <c r="D34" s="4"/>
      <c r="E34" s="4"/>
      <c r="F34" s="5" t="s">
        <v>63</v>
      </c>
      <c r="G34" s="4"/>
      <c r="H34" s="10">
        <f>SUM(I34:Q34)</f>
        <v>1992303.5469999998</v>
      </c>
      <c r="I34" s="10">
        <f>I35+I36+I40+I41+I42+I44+I48+I49+I50+I51+I52+I53+I54+I55+I56+I57+I60+I61+I62+I64+I58+I65+I68+I45+I46+I66+I69+I70+I37+I39+I38+I67</f>
        <v>204702.54199999999</v>
      </c>
      <c r="J34" s="10">
        <f t="shared" ref="J34:Q34" si="7">J35+J36+J40+J41+J42+J44+J48+J49+J50+J51+J52+J53+J54+J55+J56+J57+J60+J61+J62+J64+J58+J65+J68+J45+J46+J66+J69+J70+J37+J39+J38+J67</f>
        <v>227518.49999999994</v>
      </c>
      <c r="K34" s="10">
        <f t="shared" si="7"/>
        <v>203219.23799999995</v>
      </c>
      <c r="L34" s="10">
        <f t="shared" si="7"/>
        <v>219332.45199999999</v>
      </c>
      <c r="M34" s="10">
        <f t="shared" si="7"/>
        <v>228707.89600000004</v>
      </c>
      <c r="N34" s="10">
        <f t="shared" si="7"/>
        <v>226761.378</v>
      </c>
      <c r="O34" s="10">
        <f t="shared" si="7"/>
        <v>232476.351</v>
      </c>
      <c r="P34" s="10">
        <f t="shared" si="7"/>
        <v>223856.62600000002</v>
      </c>
      <c r="Q34" s="10">
        <f t="shared" si="7"/>
        <v>225728.56399999998</v>
      </c>
    </row>
    <row r="35" spans="1:17" ht="55.2" x14ac:dyDescent="0.25">
      <c r="A35" s="66" t="s">
        <v>66</v>
      </c>
      <c r="B35" s="23" t="s">
        <v>64</v>
      </c>
      <c r="C35" s="23" t="s">
        <v>12</v>
      </c>
      <c r="D35" s="24">
        <v>975</v>
      </c>
      <c r="E35" s="25" t="s">
        <v>22</v>
      </c>
      <c r="F35" s="26" t="s">
        <v>67</v>
      </c>
      <c r="G35" s="25" t="s">
        <v>24</v>
      </c>
      <c r="H35" s="12">
        <f>SUM(I35:Q35)</f>
        <v>382589.16700000002</v>
      </c>
      <c r="I35" s="12">
        <v>42550.025999999998</v>
      </c>
      <c r="J35" s="12">
        <v>38472.796999999999</v>
      </c>
      <c r="K35" s="11">
        <f>47329.333</f>
        <v>47329.332999999999</v>
      </c>
      <c r="L35" s="12">
        <f>41455.89+857.2+5115.523-74.6-30-108.119-2320.56+445.004+13734.452</f>
        <v>59074.79</v>
      </c>
      <c r="M35" s="18">
        <v>43904.408000000003</v>
      </c>
      <c r="N35" s="18">
        <f>43337.61-95.969-149.215-3.492-6020</f>
        <v>37068.934000000008</v>
      </c>
      <c r="O35" s="12">
        <f>41213.271+549.066</f>
        <v>41762.337</v>
      </c>
      <c r="P35" s="12">
        <v>41213.271000000001</v>
      </c>
      <c r="Q35" s="12">
        <v>31213.271000000001</v>
      </c>
    </row>
    <row r="36" spans="1:17" ht="85.5" customHeight="1" x14ac:dyDescent="0.25">
      <c r="A36" s="68"/>
      <c r="B36" s="23" t="s">
        <v>65</v>
      </c>
      <c r="C36" s="23" t="s">
        <v>12</v>
      </c>
      <c r="D36" s="24">
        <v>975</v>
      </c>
      <c r="E36" s="25" t="s">
        <v>22</v>
      </c>
      <c r="F36" s="26" t="s">
        <v>68</v>
      </c>
      <c r="G36" s="25" t="s">
        <v>199</v>
      </c>
      <c r="H36" s="12">
        <f t="shared" ref="H36:H70" si="8">SUM(I36:Q36)</f>
        <v>1428127.07</v>
      </c>
      <c r="I36" s="12">
        <v>141469.29999999999</v>
      </c>
      <c r="J36" s="12">
        <v>149482.427</v>
      </c>
      <c r="K36" s="11">
        <f>142133.572</f>
        <v>142133.57199999999</v>
      </c>
      <c r="L36" s="12">
        <f>139751.8-256.85+1500</f>
        <v>140994.94999999998</v>
      </c>
      <c r="M36" s="18">
        <f>170279.6-283.5</f>
        <v>169996.1</v>
      </c>
      <c r="N36" s="18">
        <f>165643.06+1214.6-4381.429</f>
        <v>162476.231</v>
      </c>
      <c r="O36" s="12">
        <v>164949.13</v>
      </c>
      <c r="P36" s="12">
        <v>172371.03</v>
      </c>
      <c r="Q36" s="12">
        <v>184254.33</v>
      </c>
    </row>
    <row r="37" spans="1:17" ht="63" customHeight="1" x14ac:dyDescent="0.25">
      <c r="A37" s="68"/>
      <c r="B37" s="23" t="s">
        <v>247</v>
      </c>
      <c r="C37" s="23" t="s">
        <v>12</v>
      </c>
      <c r="D37" s="24">
        <v>975</v>
      </c>
      <c r="E37" s="25" t="s">
        <v>22</v>
      </c>
      <c r="F37" s="26" t="s">
        <v>248</v>
      </c>
      <c r="G37" s="25" t="s">
        <v>24</v>
      </c>
      <c r="H37" s="12">
        <f t="shared" si="8"/>
        <v>40.081000000000003</v>
      </c>
      <c r="I37" s="12">
        <v>0</v>
      </c>
      <c r="J37" s="12">
        <v>0</v>
      </c>
      <c r="K37" s="11">
        <v>0</v>
      </c>
      <c r="L37" s="12">
        <v>0</v>
      </c>
      <c r="M37" s="18">
        <v>0</v>
      </c>
      <c r="N37" s="18">
        <v>40.081000000000003</v>
      </c>
      <c r="O37" s="12">
        <v>0</v>
      </c>
      <c r="P37" s="12">
        <v>0</v>
      </c>
      <c r="Q37" s="12">
        <v>0</v>
      </c>
    </row>
    <row r="38" spans="1:17" ht="63" customHeight="1" x14ac:dyDescent="0.25">
      <c r="A38" s="68"/>
      <c r="B38" s="23" t="s">
        <v>247</v>
      </c>
      <c r="C38" s="23" t="s">
        <v>12</v>
      </c>
      <c r="D38" s="24">
        <v>975</v>
      </c>
      <c r="E38" s="25" t="s">
        <v>22</v>
      </c>
      <c r="F38" s="26" t="s">
        <v>248</v>
      </c>
      <c r="G38" s="25" t="s">
        <v>24</v>
      </c>
      <c r="H38" s="12">
        <f t="shared" si="8"/>
        <v>40.08</v>
      </c>
      <c r="I38" s="12">
        <v>0</v>
      </c>
      <c r="J38" s="12">
        <v>0</v>
      </c>
      <c r="K38" s="11">
        <v>0</v>
      </c>
      <c r="L38" s="12">
        <v>0</v>
      </c>
      <c r="M38" s="18">
        <v>0</v>
      </c>
      <c r="N38" s="18">
        <v>40.08</v>
      </c>
      <c r="O38" s="12">
        <v>0</v>
      </c>
      <c r="P38" s="12">
        <v>0</v>
      </c>
      <c r="Q38" s="12">
        <v>0</v>
      </c>
    </row>
    <row r="39" spans="1:17" ht="63" customHeight="1" x14ac:dyDescent="0.25">
      <c r="A39" s="68"/>
      <c r="B39" s="27" t="s">
        <v>256</v>
      </c>
      <c r="C39" s="27" t="s">
        <v>12</v>
      </c>
      <c r="D39" s="28">
        <v>975</v>
      </c>
      <c r="E39" s="29" t="s">
        <v>22</v>
      </c>
      <c r="F39" s="30" t="s">
        <v>257</v>
      </c>
      <c r="G39" s="29" t="s">
        <v>24</v>
      </c>
      <c r="H39" s="12">
        <f t="shared" si="8"/>
        <v>13978.383000000002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f>133.208+13187.6+651+6.575</f>
        <v>13978.383000000002</v>
      </c>
      <c r="O39" s="18">
        <v>0</v>
      </c>
      <c r="P39" s="18">
        <v>0</v>
      </c>
      <c r="Q39" s="18">
        <v>0</v>
      </c>
    </row>
    <row r="40" spans="1:17" ht="151.80000000000001" x14ac:dyDescent="0.25">
      <c r="A40" s="23" t="s">
        <v>222</v>
      </c>
      <c r="B40" s="23" t="s">
        <v>69</v>
      </c>
      <c r="C40" s="23" t="s">
        <v>12</v>
      </c>
      <c r="D40" s="24">
        <v>975</v>
      </c>
      <c r="E40" s="25" t="s">
        <v>140</v>
      </c>
      <c r="F40" s="26" t="s">
        <v>70</v>
      </c>
      <c r="G40" s="25" t="s">
        <v>24</v>
      </c>
      <c r="H40" s="12">
        <f t="shared" si="8"/>
        <v>4847.2760000000007</v>
      </c>
      <c r="I40" s="12">
        <v>375.77600000000001</v>
      </c>
      <c r="J40" s="12">
        <v>569</v>
      </c>
      <c r="K40" s="11">
        <f>562.1</f>
        <v>562.1</v>
      </c>
      <c r="L40" s="12">
        <v>558.5</v>
      </c>
      <c r="M40" s="18">
        <f>360</f>
        <v>360</v>
      </c>
      <c r="N40" s="18">
        <f>357+241</f>
        <v>598</v>
      </c>
      <c r="O40" s="12">
        <v>580.79999999999995</v>
      </c>
      <c r="P40" s="12">
        <v>604.1</v>
      </c>
      <c r="Q40" s="12">
        <v>639</v>
      </c>
    </row>
    <row r="41" spans="1:17" ht="41.4" x14ac:dyDescent="0.25">
      <c r="A41" s="23" t="s">
        <v>71</v>
      </c>
      <c r="B41" s="23" t="s">
        <v>59</v>
      </c>
      <c r="C41" s="23" t="s">
        <v>12</v>
      </c>
      <c r="D41" s="24">
        <v>975</v>
      </c>
      <c r="E41" s="25" t="s">
        <v>22</v>
      </c>
      <c r="F41" s="26" t="s">
        <v>72</v>
      </c>
      <c r="G41" s="25" t="s">
        <v>24</v>
      </c>
      <c r="H41" s="12">
        <f t="shared" si="8"/>
        <v>8103.4900000000007</v>
      </c>
      <c r="I41" s="12">
        <v>1232.6320000000001</v>
      </c>
      <c r="J41" s="12">
        <v>1180.22</v>
      </c>
      <c r="K41" s="11">
        <f>1130.527</f>
        <v>1130.527</v>
      </c>
      <c r="L41" s="12">
        <v>973.16700000000003</v>
      </c>
      <c r="M41" s="18">
        <f>831.82-22.862</f>
        <v>808.95800000000008</v>
      </c>
      <c r="N41" s="18">
        <f>661+105.369-5.483</f>
        <v>760.88600000000008</v>
      </c>
      <c r="O41" s="12">
        <v>805.7</v>
      </c>
      <c r="P41" s="12">
        <v>805.7</v>
      </c>
      <c r="Q41" s="12">
        <v>405.7</v>
      </c>
    </row>
    <row r="42" spans="1:17" ht="41.4" x14ac:dyDescent="0.25">
      <c r="A42" s="74" t="s">
        <v>73</v>
      </c>
      <c r="B42" s="23" t="s">
        <v>74</v>
      </c>
      <c r="C42" s="23" t="s">
        <v>12</v>
      </c>
      <c r="D42" s="24">
        <v>975</v>
      </c>
      <c r="E42" s="25" t="s">
        <v>22</v>
      </c>
      <c r="F42" s="26" t="s">
        <v>76</v>
      </c>
      <c r="G42" s="25" t="s">
        <v>200</v>
      </c>
      <c r="H42" s="12">
        <f t="shared" si="8"/>
        <v>9809.0190000000002</v>
      </c>
      <c r="I42" s="12">
        <v>964.34900000000005</v>
      </c>
      <c r="J42" s="12">
        <v>3377.9319999999998</v>
      </c>
      <c r="K42" s="11">
        <f>1620.682</f>
        <v>1620.682</v>
      </c>
      <c r="L42" s="12">
        <f>607.609+668.887-0.4+59.97+100.772</f>
        <v>1436.838</v>
      </c>
      <c r="M42" s="18">
        <f>2376.18-9.962</f>
        <v>2366.2179999999998</v>
      </c>
      <c r="N42" s="18">
        <f>33+10</f>
        <v>43</v>
      </c>
      <c r="O42" s="12">
        <v>0</v>
      </c>
      <c r="P42" s="12">
        <v>0</v>
      </c>
      <c r="Q42" s="12">
        <v>0</v>
      </c>
    </row>
    <row r="43" spans="1:17" s="19" customFormat="1" ht="41.4" x14ac:dyDescent="0.25">
      <c r="A43" s="75"/>
      <c r="B43" s="23" t="s">
        <v>74</v>
      </c>
      <c r="C43" s="27" t="s">
        <v>12</v>
      </c>
      <c r="D43" s="28">
        <v>975</v>
      </c>
      <c r="E43" s="29" t="s">
        <v>22</v>
      </c>
      <c r="F43" s="30" t="s">
        <v>238</v>
      </c>
      <c r="G43" s="29" t="s">
        <v>200</v>
      </c>
      <c r="H43" s="12">
        <f t="shared" si="8"/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</row>
    <row r="44" spans="1:17" ht="55.2" x14ac:dyDescent="0.25">
      <c r="A44" s="75"/>
      <c r="B44" s="23" t="s">
        <v>75</v>
      </c>
      <c r="C44" s="23" t="s">
        <v>12</v>
      </c>
      <c r="D44" s="24">
        <v>975</v>
      </c>
      <c r="E44" s="25" t="s">
        <v>22</v>
      </c>
      <c r="F44" s="26" t="s">
        <v>77</v>
      </c>
      <c r="G44" s="25" t="s">
        <v>24</v>
      </c>
      <c r="H44" s="12">
        <f t="shared" si="8"/>
        <v>11078</v>
      </c>
      <c r="I44" s="12">
        <v>0</v>
      </c>
      <c r="J44" s="12">
        <v>11078</v>
      </c>
      <c r="K44" s="11">
        <v>0</v>
      </c>
      <c r="L44" s="12">
        <v>0</v>
      </c>
      <c r="M44" s="18">
        <v>0</v>
      </c>
      <c r="N44" s="18">
        <v>0</v>
      </c>
      <c r="O44" s="12">
        <v>0</v>
      </c>
      <c r="P44" s="12">
        <v>0</v>
      </c>
      <c r="Q44" s="12">
        <v>0</v>
      </c>
    </row>
    <row r="45" spans="1:17" s="2" customFormat="1" ht="70.2" x14ac:dyDescent="0.25">
      <c r="A45" s="75"/>
      <c r="B45" s="46" t="s">
        <v>220</v>
      </c>
      <c r="C45" s="46" t="s">
        <v>12</v>
      </c>
      <c r="D45" s="47">
        <v>975</v>
      </c>
      <c r="E45" s="48" t="s">
        <v>22</v>
      </c>
      <c r="F45" s="49" t="s">
        <v>226</v>
      </c>
      <c r="G45" s="48" t="s">
        <v>24</v>
      </c>
      <c r="H45" s="12">
        <f t="shared" si="8"/>
        <v>1086.9780000000001</v>
      </c>
      <c r="I45" s="11">
        <v>0</v>
      </c>
      <c r="J45" s="11">
        <v>0</v>
      </c>
      <c r="K45" s="11">
        <v>0</v>
      </c>
      <c r="L45" s="11">
        <v>233.9</v>
      </c>
      <c r="M45" s="11">
        <v>220.6</v>
      </c>
      <c r="N45" s="18">
        <v>0</v>
      </c>
      <c r="O45" s="11">
        <v>632.47799999999995</v>
      </c>
      <c r="P45" s="11">
        <v>0</v>
      </c>
      <c r="Q45" s="11">
        <v>0</v>
      </c>
    </row>
    <row r="46" spans="1:17" s="2" customFormat="1" ht="70.2" x14ac:dyDescent="0.25">
      <c r="A46" s="75"/>
      <c r="B46" s="46" t="s">
        <v>220</v>
      </c>
      <c r="C46" s="46" t="s">
        <v>12</v>
      </c>
      <c r="D46" s="47">
        <v>975</v>
      </c>
      <c r="E46" s="48" t="s">
        <v>22</v>
      </c>
      <c r="F46" s="49" t="s">
        <v>226</v>
      </c>
      <c r="G46" s="48" t="s">
        <v>24</v>
      </c>
      <c r="H46" s="12">
        <f t="shared" si="8"/>
        <v>5992.8119999999999</v>
      </c>
      <c r="I46" s="11">
        <v>0</v>
      </c>
      <c r="J46" s="11">
        <v>0</v>
      </c>
      <c r="K46" s="11">
        <v>0</v>
      </c>
      <c r="L46" s="11">
        <v>26</v>
      </c>
      <c r="M46" s="11">
        <v>274.512</v>
      </c>
      <c r="N46" s="18">
        <v>0</v>
      </c>
      <c r="O46" s="11">
        <v>5692.3</v>
      </c>
      <c r="P46" s="11">
        <v>0</v>
      </c>
      <c r="Q46" s="11">
        <v>0</v>
      </c>
    </row>
    <row r="47" spans="1:17" s="2" customFormat="1" ht="69.599999999999994" x14ac:dyDescent="0.25">
      <c r="A47" s="76"/>
      <c r="B47" s="27" t="s">
        <v>220</v>
      </c>
      <c r="C47" s="27" t="s">
        <v>12</v>
      </c>
      <c r="D47" s="28">
        <v>975</v>
      </c>
      <c r="E47" s="29" t="s">
        <v>22</v>
      </c>
      <c r="F47" s="30" t="s">
        <v>270</v>
      </c>
      <c r="G47" s="29" t="s">
        <v>24</v>
      </c>
      <c r="H47" s="12">
        <f t="shared" si="8"/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1">
        <v>0</v>
      </c>
      <c r="P47" s="11">
        <v>0</v>
      </c>
      <c r="Q47" s="11">
        <v>0</v>
      </c>
    </row>
    <row r="48" spans="1:17" ht="41.4" x14ac:dyDescent="0.25">
      <c r="A48" s="23" t="s">
        <v>79</v>
      </c>
      <c r="B48" s="23" t="s">
        <v>202</v>
      </c>
      <c r="C48" s="23" t="s">
        <v>12</v>
      </c>
      <c r="D48" s="24">
        <v>975</v>
      </c>
      <c r="E48" s="25" t="s">
        <v>22</v>
      </c>
      <c r="F48" s="26" t="s">
        <v>78</v>
      </c>
      <c r="G48" s="25" t="s">
        <v>24</v>
      </c>
      <c r="H48" s="12">
        <f t="shared" si="8"/>
        <v>20337.557000000001</v>
      </c>
      <c r="I48" s="12">
        <v>6540.8950000000004</v>
      </c>
      <c r="J48" s="12">
        <v>11784.134</v>
      </c>
      <c r="K48" s="11">
        <f>1516.743</f>
        <v>1516.7429999999999</v>
      </c>
      <c r="L48" s="12">
        <f>2341.1-1948.93-392-0.17</f>
        <v>-1.5462631175466868E-13</v>
      </c>
      <c r="M48" s="18">
        <f>499-3.215</f>
        <v>495.78500000000003</v>
      </c>
      <c r="N48" s="18">
        <v>0</v>
      </c>
      <c r="O48" s="12">
        <v>0</v>
      </c>
      <c r="P48" s="12">
        <v>0</v>
      </c>
      <c r="Q48" s="12">
        <v>0</v>
      </c>
    </row>
    <row r="49" spans="1:17" ht="55.2" x14ac:dyDescent="0.25">
      <c r="A49" s="66" t="s">
        <v>80</v>
      </c>
      <c r="B49" s="23" t="s">
        <v>195</v>
      </c>
      <c r="C49" s="23" t="s">
        <v>12</v>
      </c>
      <c r="D49" s="24">
        <v>975</v>
      </c>
      <c r="E49" s="25" t="s">
        <v>22</v>
      </c>
      <c r="F49" s="26" t="s">
        <v>82</v>
      </c>
      <c r="G49" s="25" t="s">
        <v>24</v>
      </c>
      <c r="H49" s="12">
        <f t="shared" si="8"/>
        <v>9164.2529999999988</v>
      </c>
      <c r="I49" s="12">
        <v>2868.4250000000002</v>
      </c>
      <c r="J49" s="12">
        <v>1546.83</v>
      </c>
      <c r="K49" s="11">
        <f>760.681</f>
        <v>760.68100000000004</v>
      </c>
      <c r="L49" s="12">
        <v>1619.2270000000001</v>
      </c>
      <c r="M49" s="18">
        <f>1767.95+39.857</f>
        <v>1807.807</v>
      </c>
      <c r="N49" s="18">
        <f>25+400+50.283+86</f>
        <v>561.28300000000002</v>
      </c>
      <c r="O49" s="12">
        <v>0</v>
      </c>
      <c r="P49" s="12">
        <v>0</v>
      </c>
      <c r="Q49" s="12">
        <v>0</v>
      </c>
    </row>
    <row r="50" spans="1:17" ht="55.2" x14ac:dyDescent="0.25">
      <c r="A50" s="67"/>
      <c r="B50" s="23" t="s">
        <v>81</v>
      </c>
      <c r="C50" s="23" t="s">
        <v>12</v>
      </c>
      <c r="D50" s="24">
        <v>975</v>
      </c>
      <c r="E50" s="25" t="s">
        <v>22</v>
      </c>
      <c r="F50" s="26" t="s">
        <v>77</v>
      </c>
      <c r="G50" s="25" t="s">
        <v>24</v>
      </c>
      <c r="H50" s="12">
        <f t="shared" si="8"/>
        <v>165.13900000000001</v>
      </c>
      <c r="I50" s="12">
        <v>165.13900000000001</v>
      </c>
      <c r="J50" s="12">
        <v>0</v>
      </c>
      <c r="K50" s="11">
        <v>0</v>
      </c>
      <c r="L50" s="12">
        <v>0</v>
      </c>
      <c r="M50" s="18">
        <v>0</v>
      </c>
      <c r="N50" s="18">
        <v>0</v>
      </c>
      <c r="O50" s="12">
        <v>0</v>
      </c>
      <c r="P50" s="12">
        <v>0</v>
      </c>
      <c r="Q50" s="12">
        <v>0</v>
      </c>
    </row>
    <row r="51" spans="1:17" ht="42.6" x14ac:dyDescent="0.25">
      <c r="A51" s="23" t="s">
        <v>83</v>
      </c>
      <c r="B51" s="23" t="s">
        <v>203</v>
      </c>
      <c r="C51" s="23" t="s">
        <v>12</v>
      </c>
      <c r="D51" s="24">
        <v>975</v>
      </c>
      <c r="E51" s="25" t="s">
        <v>22</v>
      </c>
      <c r="F51" s="26" t="s">
        <v>84</v>
      </c>
      <c r="G51" s="25" t="s">
        <v>24</v>
      </c>
      <c r="H51" s="12">
        <f t="shared" si="8"/>
        <v>18233.289000000001</v>
      </c>
      <c r="I51" s="12">
        <v>1160</v>
      </c>
      <c r="J51" s="12">
        <v>1195</v>
      </c>
      <c r="K51" s="11">
        <f>1255-150+100</f>
        <v>1205</v>
      </c>
      <c r="L51" s="12">
        <f>1000-302.6-80+23</f>
        <v>640.4</v>
      </c>
      <c r="M51" s="18">
        <v>2085.7080000000001</v>
      </c>
      <c r="N51" s="18">
        <f>2600+76</f>
        <v>2676</v>
      </c>
      <c r="O51" s="12">
        <v>9271.1810000000005</v>
      </c>
      <c r="P51" s="12">
        <v>0</v>
      </c>
      <c r="Q51" s="12">
        <v>0</v>
      </c>
    </row>
    <row r="52" spans="1:17" ht="82.8" x14ac:dyDescent="0.25">
      <c r="A52" s="23" t="s">
        <v>85</v>
      </c>
      <c r="B52" s="23" t="s">
        <v>86</v>
      </c>
      <c r="C52" s="23" t="s">
        <v>12</v>
      </c>
      <c r="D52" s="24">
        <v>975</v>
      </c>
      <c r="E52" s="25" t="s">
        <v>22</v>
      </c>
      <c r="F52" s="26" t="s">
        <v>87</v>
      </c>
      <c r="G52" s="25" t="s">
        <v>88</v>
      </c>
      <c r="H52" s="12">
        <f t="shared" si="8"/>
        <v>0</v>
      </c>
      <c r="I52" s="12">
        <v>0</v>
      </c>
      <c r="J52" s="12">
        <v>0</v>
      </c>
      <c r="K52" s="11">
        <v>0</v>
      </c>
      <c r="L52" s="12">
        <v>0</v>
      </c>
      <c r="M52" s="18">
        <v>0</v>
      </c>
      <c r="N52" s="18">
        <v>0</v>
      </c>
      <c r="O52" s="12">
        <v>0</v>
      </c>
      <c r="P52" s="12">
        <v>0</v>
      </c>
      <c r="Q52" s="12">
        <v>0</v>
      </c>
    </row>
    <row r="53" spans="1:17" ht="43.2" x14ac:dyDescent="0.25">
      <c r="A53" s="23" t="s">
        <v>89</v>
      </c>
      <c r="B53" s="23" t="s">
        <v>74</v>
      </c>
      <c r="C53" s="23" t="s">
        <v>12</v>
      </c>
      <c r="D53" s="24">
        <v>975</v>
      </c>
      <c r="E53" s="25" t="s">
        <v>22</v>
      </c>
      <c r="F53" s="26" t="s">
        <v>90</v>
      </c>
      <c r="G53" s="25" t="s">
        <v>24</v>
      </c>
      <c r="H53" s="12">
        <f t="shared" si="8"/>
        <v>0</v>
      </c>
      <c r="I53" s="12">
        <v>0</v>
      </c>
      <c r="J53" s="12">
        <v>0</v>
      </c>
      <c r="K53" s="11">
        <v>0</v>
      </c>
      <c r="L53" s="12">
        <v>0</v>
      </c>
      <c r="M53" s="18">
        <v>0</v>
      </c>
      <c r="N53" s="18">
        <v>0</v>
      </c>
      <c r="O53" s="12">
        <v>0</v>
      </c>
      <c r="P53" s="12">
        <v>0</v>
      </c>
      <c r="Q53" s="12">
        <v>0</v>
      </c>
    </row>
    <row r="54" spans="1:17" ht="41.4" x14ac:dyDescent="0.25">
      <c r="A54" s="23" t="s">
        <v>91</v>
      </c>
      <c r="B54" s="23" t="s">
        <v>92</v>
      </c>
      <c r="C54" s="23" t="s">
        <v>12</v>
      </c>
      <c r="D54" s="24">
        <v>975</v>
      </c>
      <c r="E54" s="25" t="s">
        <v>22</v>
      </c>
      <c r="F54" s="26" t="s">
        <v>93</v>
      </c>
      <c r="G54" s="25" t="s">
        <v>52</v>
      </c>
      <c r="H54" s="12">
        <f t="shared" si="8"/>
        <v>136.13999999999999</v>
      </c>
      <c r="I54" s="12">
        <v>18.899999999999999</v>
      </c>
      <c r="J54" s="12">
        <v>17.36</v>
      </c>
      <c r="K54" s="11">
        <v>18.899999999999999</v>
      </c>
      <c r="L54" s="12">
        <v>8.98</v>
      </c>
      <c r="M54" s="18">
        <f>12</f>
        <v>12</v>
      </c>
      <c r="N54" s="18">
        <v>0</v>
      </c>
      <c r="O54" s="12">
        <v>20</v>
      </c>
      <c r="P54" s="12">
        <v>20</v>
      </c>
      <c r="Q54" s="12">
        <v>20</v>
      </c>
    </row>
    <row r="55" spans="1:17" ht="57.75" customHeight="1" x14ac:dyDescent="0.25">
      <c r="A55" s="23" t="s">
        <v>94</v>
      </c>
      <c r="B55" s="23" t="s">
        <v>95</v>
      </c>
      <c r="C55" s="23" t="s">
        <v>12</v>
      </c>
      <c r="D55" s="24">
        <v>975</v>
      </c>
      <c r="E55" s="25" t="s">
        <v>22</v>
      </c>
      <c r="F55" s="26" t="s">
        <v>96</v>
      </c>
      <c r="G55" s="25" t="s">
        <v>52</v>
      </c>
      <c r="H55" s="12">
        <f t="shared" si="8"/>
        <v>0</v>
      </c>
      <c r="I55" s="12">
        <v>0</v>
      </c>
      <c r="J55" s="12">
        <v>0</v>
      </c>
      <c r="K55" s="11">
        <v>0</v>
      </c>
      <c r="L55" s="12">
        <v>0</v>
      </c>
      <c r="M55" s="18">
        <v>0</v>
      </c>
      <c r="N55" s="18">
        <v>0</v>
      </c>
      <c r="O55" s="12">
        <v>0</v>
      </c>
      <c r="P55" s="12">
        <v>0</v>
      </c>
      <c r="Q55" s="12">
        <v>0</v>
      </c>
    </row>
    <row r="56" spans="1:17" ht="61.95" customHeight="1" x14ac:dyDescent="0.25">
      <c r="A56" s="23" t="s">
        <v>97</v>
      </c>
      <c r="B56" s="23" t="s">
        <v>264</v>
      </c>
      <c r="C56" s="23" t="s">
        <v>12</v>
      </c>
      <c r="D56" s="24">
        <v>975</v>
      </c>
      <c r="E56" s="25" t="s">
        <v>22</v>
      </c>
      <c r="F56" s="26" t="s">
        <v>98</v>
      </c>
      <c r="G56" s="25" t="s">
        <v>99</v>
      </c>
      <c r="H56" s="12">
        <f t="shared" si="8"/>
        <v>1306.6999999999998</v>
      </c>
      <c r="I56" s="12">
        <v>494.9</v>
      </c>
      <c r="J56" s="12">
        <v>490.9</v>
      </c>
      <c r="K56" s="11">
        <f>320.9</f>
        <v>320.89999999999998</v>
      </c>
      <c r="L56" s="12">
        <v>0</v>
      </c>
      <c r="M56" s="18">
        <v>0</v>
      </c>
      <c r="N56" s="18">
        <v>0</v>
      </c>
      <c r="O56" s="12">
        <v>0</v>
      </c>
      <c r="P56" s="12">
        <v>0</v>
      </c>
      <c r="Q56" s="12">
        <v>0</v>
      </c>
    </row>
    <row r="57" spans="1:17" ht="64.2" customHeight="1" x14ac:dyDescent="0.25">
      <c r="A57" s="23" t="s">
        <v>100</v>
      </c>
      <c r="B57" s="23" t="s">
        <v>265</v>
      </c>
      <c r="C57" s="23" t="s">
        <v>12</v>
      </c>
      <c r="D57" s="24">
        <v>975</v>
      </c>
      <c r="E57" s="25" t="s">
        <v>22</v>
      </c>
      <c r="F57" s="26" t="s">
        <v>101</v>
      </c>
      <c r="G57" s="25" t="s">
        <v>102</v>
      </c>
      <c r="H57" s="12">
        <f t="shared" si="8"/>
        <v>389.8</v>
      </c>
      <c r="I57" s="12">
        <v>135</v>
      </c>
      <c r="J57" s="12">
        <v>83.8</v>
      </c>
      <c r="K57" s="11">
        <v>145</v>
      </c>
      <c r="L57" s="12">
        <v>13</v>
      </c>
      <c r="M57" s="18">
        <f>13</f>
        <v>13</v>
      </c>
      <c r="N57" s="18">
        <v>0</v>
      </c>
      <c r="O57" s="12">
        <v>0</v>
      </c>
      <c r="P57" s="12">
        <v>0</v>
      </c>
      <c r="Q57" s="12">
        <v>0</v>
      </c>
    </row>
    <row r="58" spans="1:17" ht="55.2" x14ac:dyDescent="0.25">
      <c r="A58" s="23" t="s">
        <v>193</v>
      </c>
      <c r="B58" s="23" t="s">
        <v>196</v>
      </c>
      <c r="C58" s="23" t="s">
        <v>12</v>
      </c>
      <c r="D58" s="24">
        <v>975</v>
      </c>
      <c r="E58" s="25" t="s">
        <v>22</v>
      </c>
      <c r="F58" s="26" t="s">
        <v>192</v>
      </c>
      <c r="G58" s="25" t="s">
        <v>24</v>
      </c>
      <c r="H58" s="12">
        <f t="shared" si="8"/>
        <v>225</v>
      </c>
      <c r="I58" s="12">
        <v>0</v>
      </c>
      <c r="J58" s="12">
        <v>0</v>
      </c>
      <c r="K58" s="11">
        <f>105+90</f>
        <v>195</v>
      </c>
      <c r="L58" s="12">
        <f>30</f>
        <v>30</v>
      </c>
      <c r="M58" s="18">
        <v>0</v>
      </c>
      <c r="N58" s="18">
        <v>0</v>
      </c>
      <c r="O58" s="12">
        <v>0</v>
      </c>
      <c r="P58" s="12">
        <v>0</v>
      </c>
      <c r="Q58" s="12">
        <v>0</v>
      </c>
    </row>
    <row r="59" spans="1:17" ht="33" customHeight="1" x14ac:dyDescent="0.25">
      <c r="A59" s="23" t="s">
        <v>18</v>
      </c>
      <c r="B59" s="64" t="s">
        <v>103</v>
      </c>
      <c r="C59" s="65"/>
      <c r="D59" s="24"/>
      <c r="E59" s="25"/>
      <c r="F59" s="26"/>
      <c r="G59" s="25"/>
      <c r="H59" s="12">
        <f t="shared" si="8"/>
        <v>0</v>
      </c>
      <c r="I59" s="12"/>
      <c r="J59" s="12"/>
      <c r="K59" s="11"/>
      <c r="L59" s="12"/>
      <c r="M59" s="18"/>
      <c r="N59" s="18"/>
      <c r="O59" s="12"/>
      <c r="P59" s="12"/>
      <c r="Q59" s="12"/>
    </row>
    <row r="60" spans="1:17" ht="48" customHeight="1" x14ac:dyDescent="0.25">
      <c r="A60" s="66" t="s">
        <v>104</v>
      </c>
      <c r="B60" s="23" t="s">
        <v>105</v>
      </c>
      <c r="C60" s="23" t="s">
        <v>12</v>
      </c>
      <c r="D60" s="24">
        <v>975</v>
      </c>
      <c r="E60" s="25" t="s">
        <v>22</v>
      </c>
      <c r="F60" s="26" t="s">
        <v>108</v>
      </c>
      <c r="G60" s="25" t="s">
        <v>24</v>
      </c>
      <c r="H60" s="12">
        <f t="shared" si="8"/>
        <v>465</v>
      </c>
      <c r="I60" s="12">
        <v>0</v>
      </c>
      <c r="J60" s="12">
        <v>465</v>
      </c>
      <c r="K60" s="11">
        <v>0</v>
      </c>
      <c r="L60" s="12">
        <f>335-335</f>
        <v>0</v>
      </c>
      <c r="M60" s="18">
        <v>0</v>
      </c>
      <c r="N60" s="18">
        <v>0</v>
      </c>
      <c r="O60" s="12">
        <v>0</v>
      </c>
      <c r="P60" s="12">
        <v>0</v>
      </c>
      <c r="Q60" s="12">
        <v>0</v>
      </c>
    </row>
    <row r="61" spans="1:17" ht="62.25" customHeight="1" x14ac:dyDescent="0.25">
      <c r="A61" s="68"/>
      <c r="B61" s="23" t="s">
        <v>106</v>
      </c>
      <c r="C61" s="23" t="s">
        <v>12</v>
      </c>
      <c r="D61" s="24">
        <v>975</v>
      </c>
      <c r="E61" s="25" t="s">
        <v>22</v>
      </c>
      <c r="F61" s="26" t="s">
        <v>109</v>
      </c>
      <c r="G61" s="25" t="s">
        <v>24</v>
      </c>
      <c r="H61" s="12">
        <f t="shared" si="8"/>
        <v>756</v>
      </c>
      <c r="I61" s="12">
        <v>0</v>
      </c>
      <c r="J61" s="12">
        <v>756</v>
      </c>
      <c r="K61" s="11">
        <v>0</v>
      </c>
      <c r="L61" s="12">
        <v>0</v>
      </c>
      <c r="M61" s="18">
        <v>0</v>
      </c>
      <c r="N61" s="18">
        <v>0</v>
      </c>
      <c r="O61" s="12">
        <v>0</v>
      </c>
      <c r="P61" s="12">
        <v>0</v>
      </c>
      <c r="Q61" s="12">
        <v>0</v>
      </c>
    </row>
    <row r="62" spans="1:17" ht="82.8" x14ac:dyDescent="0.25">
      <c r="A62" s="67"/>
      <c r="B62" s="23" t="s">
        <v>107</v>
      </c>
      <c r="C62" s="23" t="s">
        <v>12</v>
      </c>
      <c r="D62" s="24">
        <v>975</v>
      </c>
      <c r="E62" s="25" t="s">
        <v>22</v>
      </c>
      <c r="F62" s="26" t="s">
        <v>110</v>
      </c>
      <c r="G62" s="25" t="s">
        <v>24</v>
      </c>
      <c r="H62" s="12">
        <f t="shared" si="8"/>
        <v>400</v>
      </c>
      <c r="I62" s="12">
        <v>0</v>
      </c>
      <c r="J62" s="12">
        <v>400</v>
      </c>
      <c r="K62" s="11">
        <v>0</v>
      </c>
      <c r="L62" s="12">
        <v>0</v>
      </c>
      <c r="M62" s="18">
        <v>0</v>
      </c>
      <c r="N62" s="18">
        <v>0</v>
      </c>
      <c r="O62" s="12">
        <v>0</v>
      </c>
      <c r="P62" s="12">
        <v>0</v>
      </c>
      <c r="Q62" s="12">
        <v>0</v>
      </c>
    </row>
    <row r="63" spans="1:17" x14ac:dyDescent="0.25">
      <c r="A63" s="23" t="s">
        <v>18</v>
      </c>
      <c r="B63" s="64" t="s">
        <v>111</v>
      </c>
      <c r="C63" s="65"/>
      <c r="D63" s="24"/>
      <c r="E63" s="25"/>
      <c r="F63" s="26"/>
      <c r="G63" s="25"/>
      <c r="H63" s="12"/>
      <c r="I63" s="12"/>
      <c r="J63" s="12"/>
      <c r="K63" s="11"/>
      <c r="L63" s="12"/>
      <c r="M63" s="18"/>
      <c r="N63" s="18"/>
      <c r="O63" s="12"/>
      <c r="P63" s="12"/>
      <c r="Q63" s="12"/>
    </row>
    <row r="64" spans="1:17" ht="106.5" customHeight="1" x14ac:dyDescent="0.25">
      <c r="A64" s="23" t="s">
        <v>112</v>
      </c>
      <c r="B64" s="23" t="s">
        <v>113</v>
      </c>
      <c r="C64" s="23" t="s">
        <v>12</v>
      </c>
      <c r="D64" s="24">
        <v>975</v>
      </c>
      <c r="E64" s="25" t="s">
        <v>22</v>
      </c>
      <c r="F64" s="26" t="s">
        <v>114</v>
      </c>
      <c r="G64" s="25" t="s">
        <v>24</v>
      </c>
      <c r="H64" s="12">
        <f t="shared" si="8"/>
        <v>19627.099999999999</v>
      </c>
      <c r="I64" s="12">
        <v>6727.2</v>
      </c>
      <c r="J64" s="12">
        <v>6619.1</v>
      </c>
      <c r="K64" s="11">
        <v>6280.8</v>
      </c>
      <c r="L64" s="12">
        <f>6148.1-6148.1</f>
        <v>0</v>
      </c>
      <c r="M64" s="18">
        <v>0</v>
      </c>
      <c r="N64" s="18">
        <v>0</v>
      </c>
      <c r="O64" s="12">
        <v>0</v>
      </c>
      <c r="P64" s="12">
        <v>0</v>
      </c>
      <c r="Q64" s="12">
        <v>0</v>
      </c>
    </row>
    <row r="65" spans="1:17" ht="106.5" customHeight="1" x14ac:dyDescent="0.25">
      <c r="A65" s="23" t="s">
        <v>208</v>
      </c>
      <c r="B65" s="23" t="s">
        <v>234</v>
      </c>
      <c r="C65" s="23" t="s">
        <v>12</v>
      </c>
      <c r="D65" s="24">
        <v>975</v>
      </c>
      <c r="E65" s="25" t="s">
        <v>22</v>
      </c>
      <c r="F65" s="26" t="s">
        <v>227</v>
      </c>
      <c r="G65" s="25" t="s">
        <v>24</v>
      </c>
      <c r="H65" s="12">
        <f t="shared" si="8"/>
        <v>46859.3</v>
      </c>
      <c r="I65" s="12">
        <v>0</v>
      </c>
      <c r="J65" s="12">
        <v>0</v>
      </c>
      <c r="K65" s="11">
        <v>0</v>
      </c>
      <c r="L65" s="12">
        <v>6148.1</v>
      </c>
      <c r="M65" s="18">
        <f>6264.8+34.3</f>
        <v>6299.1</v>
      </c>
      <c r="N65" s="18">
        <f>8346.1-209.8</f>
        <v>8136.3</v>
      </c>
      <c r="O65" s="12">
        <v>8417.4</v>
      </c>
      <c r="P65" s="12">
        <v>8754.1</v>
      </c>
      <c r="Q65" s="12">
        <v>9104.2999999999993</v>
      </c>
    </row>
    <row r="66" spans="1:17" ht="106.5" customHeight="1" x14ac:dyDescent="0.25">
      <c r="A66" s="62" t="s">
        <v>212</v>
      </c>
      <c r="B66" s="27" t="s">
        <v>271</v>
      </c>
      <c r="C66" s="27" t="s">
        <v>12</v>
      </c>
      <c r="D66" s="28">
        <v>975</v>
      </c>
      <c r="E66" s="29" t="s">
        <v>22</v>
      </c>
      <c r="F66" s="30" t="s">
        <v>272</v>
      </c>
      <c r="G66" s="29" t="s">
        <v>24</v>
      </c>
      <c r="H66" s="12">
        <f t="shared" si="8"/>
        <v>0</v>
      </c>
      <c r="I66" s="18">
        <v>0</v>
      </c>
      <c r="J66" s="18">
        <v>0</v>
      </c>
      <c r="K66" s="18">
        <v>0</v>
      </c>
      <c r="L66" s="18">
        <f>33.3-33.3</f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</row>
    <row r="67" spans="1:17" ht="106.5" customHeight="1" x14ac:dyDescent="0.25">
      <c r="A67" s="63"/>
      <c r="B67" s="27" t="s">
        <v>277</v>
      </c>
      <c r="C67" s="27" t="s">
        <v>12</v>
      </c>
      <c r="D67" s="28">
        <v>975</v>
      </c>
      <c r="E67" s="29" t="s">
        <v>22</v>
      </c>
      <c r="F67" s="30" t="s">
        <v>272</v>
      </c>
      <c r="G67" s="29" t="s">
        <v>24</v>
      </c>
      <c r="H67" s="12">
        <f t="shared" si="8"/>
        <v>260.00099999999998</v>
      </c>
      <c r="I67" s="18">
        <v>0</v>
      </c>
      <c r="J67" s="18">
        <v>0</v>
      </c>
      <c r="K67" s="18">
        <v>0</v>
      </c>
      <c r="L67" s="18">
        <f>33.3-33.3</f>
        <v>0</v>
      </c>
      <c r="M67" s="18">
        <v>0</v>
      </c>
      <c r="N67" s="18">
        <v>0</v>
      </c>
      <c r="O67" s="18">
        <f>326.668-66.667</f>
        <v>260.00099999999998</v>
      </c>
      <c r="P67" s="18">
        <v>0</v>
      </c>
      <c r="Q67" s="18">
        <v>0</v>
      </c>
    </row>
    <row r="68" spans="1:17" ht="106.5" customHeight="1" x14ac:dyDescent="0.25">
      <c r="A68" s="23" t="s">
        <v>213</v>
      </c>
      <c r="B68" s="23" t="s">
        <v>207</v>
      </c>
      <c r="C68" s="23" t="s">
        <v>12</v>
      </c>
      <c r="D68" s="24">
        <v>975</v>
      </c>
      <c r="E68" s="25" t="s">
        <v>22</v>
      </c>
      <c r="F68" s="26" t="s">
        <v>214</v>
      </c>
      <c r="G68" s="25" t="s">
        <v>24</v>
      </c>
      <c r="H68" s="12">
        <f t="shared" si="8"/>
        <v>485.91200000000003</v>
      </c>
      <c r="I68" s="12">
        <v>0</v>
      </c>
      <c r="J68" s="12">
        <v>0</v>
      </c>
      <c r="K68" s="11">
        <v>0</v>
      </c>
      <c r="L68" s="12">
        <v>74.599999999999994</v>
      </c>
      <c r="M68" s="18">
        <f>63.3+0.4</f>
        <v>63.699999999999996</v>
      </c>
      <c r="N68" s="18">
        <f>84.305-2.105</f>
        <v>82.2</v>
      </c>
      <c r="O68" s="12">
        <v>85.024000000000001</v>
      </c>
      <c r="P68" s="12">
        <v>88.424999999999997</v>
      </c>
      <c r="Q68" s="12">
        <v>91.962999999999994</v>
      </c>
    </row>
    <row r="69" spans="1:17" ht="106.5" customHeight="1" x14ac:dyDescent="0.25">
      <c r="A69" s="23" t="s">
        <v>228</v>
      </c>
      <c r="B69" s="23" t="s">
        <v>218</v>
      </c>
      <c r="C69" s="23" t="s">
        <v>12</v>
      </c>
      <c r="D69" s="24">
        <v>975</v>
      </c>
      <c r="E69" s="25" t="s">
        <v>22</v>
      </c>
      <c r="F69" s="26" t="s">
        <v>229</v>
      </c>
      <c r="G69" s="25" t="s">
        <v>24</v>
      </c>
      <c r="H69" s="12">
        <f t="shared" si="8"/>
        <v>7500</v>
      </c>
      <c r="I69" s="12">
        <v>0</v>
      </c>
      <c r="J69" s="12">
        <v>0</v>
      </c>
      <c r="K69" s="11">
        <v>0</v>
      </c>
      <c r="L69" s="18">
        <v>7500</v>
      </c>
      <c r="M69" s="18">
        <v>0</v>
      </c>
      <c r="N69" s="18">
        <v>0</v>
      </c>
      <c r="O69" s="12">
        <v>0</v>
      </c>
      <c r="P69" s="12">
        <v>0</v>
      </c>
      <c r="Q69" s="12">
        <v>0</v>
      </c>
    </row>
    <row r="70" spans="1:17" ht="106.5" customHeight="1" x14ac:dyDescent="0.25">
      <c r="A70" s="23" t="s">
        <v>228</v>
      </c>
      <c r="B70" s="23" t="s">
        <v>242</v>
      </c>
      <c r="C70" s="23" t="s">
        <v>12</v>
      </c>
      <c r="D70" s="24">
        <v>975</v>
      </c>
      <c r="E70" s="25" t="s">
        <v>22</v>
      </c>
      <c r="F70" s="26" t="s">
        <v>243</v>
      </c>
      <c r="G70" s="25" t="s">
        <v>24</v>
      </c>
      <c r="H70" s="12">
        <f t="shared" si="8"/>
        <v>300</v>
      </c>
      <c r="I70" s="12">
        <v>0</v>
      </c>
      <c r="J70" s="12">
        <v>0</v>
      </c>
      <c r="K70" s="11">
        <v>0</v>
      </c>
      <c r="L70" s="12">
        <v>0</v>
      </c>
      <c r="M70" s="18">
        <v>0</v>
      </c>
      <c r="N70" s="18">
        <v>300</v>
      </c>
      <c r="O70" s="12">
        <v>0</v>
      </c>
      <c r="P70" s="12">
        <v>0</v>
      </c>
      <c r="Q70" s="12">
        <v>0</v>
      </c>
    </row>
    <row r="71" spans="1:17" ht="82.8" x14ac:dyDescent="0.25">
      <c r="A71" s="3" t="s">
        <v>116</v>
      </c>
      <c r="B71" s="3" t="s">
        <v>117</v>
      </c>
      <c r="C71" s="3" t="s">
        <v>224</v>
      </c>
      <c r="D71" s="4"/>
      <c r="E71" s="4"/>
      <c r="F71" s="5" t="s">
        <v>115</v>
      </c>
      <c r="G71" s="4"/>
      <c r="H71" s="10">
        <f>SUM(I71:Q71)</f>
        <v>188915.511</v>
      </c>
      <c r="I71" s="10">
        <f t="shared" ref="I71:O71" si="9">I73+I75+I77+I79+I80+I82+I85+I86+I87+I89+I94+I95+I96+I98+I99+I83+I100+I101+I102+I90+I91+I92</f>
        <v>25267.874</v>
      </c>
      <c r="J71" s="10">
        <f t="shared" si="9"/>
        <v>23319.319</v>
      </c>
      <c r="K71" s="10">
        <f t="shared" si="9"/>
        <v>18178.423999999999</v>
      </c>
      <c r="L71" s="10">
        <f t="shared" si="9"/>
        <v>18167.117999999999</v>
      </c>
      <c r="M71" s="10">
        <f t="shared" si="9"/>
        <v>21308.096999999998</v>
      </c>
      <c r="N71" s="17">
        <f t="shared" si="9"/>
        <v>21668.732000000004</v>
      </c>
      <c r="O71" s="10">
        <f t="shared" si="9"/>
        <v>23310.925000000003</v>
      </c>
      <c r="P71" s="10">
        <f t="shared" ref="P71:Q71" si="10">P73+P75+P77+P79+P80+P82+P85+P86+P87+P89+P94+P95+P96+P98+P99+P83+P100+P101+P102+P90+P91+P92</f>
        <v>21597.510999999999</v>
      </c>
      <c r="Q71" s="10">
        <f t="shared" si="10"/>
        <v>16097.511000000002</v>
      </c>
    </row>
    <row r="72" spans="1:17" ht="31.5" customHeight="1" x14ac:dyDescent="0.25">
      <c r="A72" s="23" t="s">
        <v>18</v>
      </c>
      <c r="B72" s="64" t="s">
        <v>118</v>
      </c>
      <c r="C72" s="65"/>
      <c r="D72" s="24"/>
      <c r="E72" s="25"/>
      <c r="F72" s="26"/>
      <c r="G72" s="25"/>
      <c r="H72" s="12"/>
      <c r="I72" s="12"/>
      <c r="J72" s="12"/>
      <c r="K72" s="11"/>
      <c r="L72" s="12"/>
      <c r="M72" s="18"/>
      <c r="N72" s="18"/>
      <c r="O72" s="12"/>
      <c r="P72" s="12"/>
      <c r="Q72" s="12"/>
    </row>
    <row r="73" spans="1:17" ht="55.2" x14ac:dyDescent="0.25">
      <c r="A73" s="23" t="s">
        <v>119</v>
      </c>
      <c r="B73" s="23" t="s">
        <v>120</v>
      </c>
      <c r="C73" s="23" t="s">
        <v>12</v>
      </c>
      <c r="D73" s="24">
        <v>975</v>
      </c>
      <c r="E73" s="25" t="s">
        <v>22</v>
      </c>
      <c r="F73" s="26" t="s">
        <v>121</v>
      </c>
      <c r="G73" s="25" t="s">
        <v>52</v>
      </c>
      <c r="H73" s="12">
        <f>SUM(I73:Q73)</f>
        <v>18</v>
      </c>
      <c r="I73" s="12">
        <v>6</v>
      </c>
      <c r="J73" s="12">
        <v>6</v>
      </c>
      <c r="K73" s="11">
        <v>6</v>
      </c>
      <c r="L73" s="12">
        <v>0</v>
      </c>
      <c r="M73" s="18">
        <v>0</v>
      </c>
      <c r="N73" s="18">
        <v>0</v>
      </c>
      <c r="O73" s="12">
        <v>0</v>
      </c>
      <c r="P73" s="12">
        <v>0</v>
      </c>
      <c r="Q73" s="12">
        <v>0</v>
      </c>
    </row>
    <row r="74" spans="1:17" ht="32.25" customHeight="1" x14ac:dyDescent="0.25">
      <c r="A74" s="23" t="s">
        <v>18</v>
      </c>
      <c r="B74" s="64" t="s">
        <v>123</v>
      </c>
      <c r="C74" s="65"/>
      <c r="D74" s="24"/>
      <c r="E74" s="25"/>
      <c r="F74" s="26"/>
      <c r="G74" s="25"/>
      <c r="H74" s="12"/>
      <c r="I74" s="12"/>
      <c r="J74" s="12"/>
      <c r="K74" s="11"/>
      <c r="L74" s="12"/>
      <c r="M74" s="18"/>
      <c r="N74" s="18"/>
      <c r="O74" s="12"/>
      <c r="P74" s="12"/>
      <c r="Q74" s="12"/>
    </row>
    <row r="75" spans="1:17" ht="41.4" x14ac:dyDescent="0.25">
      <c r="A75" s="23" t="s">
        <v>122</v>
      </c>
      <c r="B75" s="23" t="s">
        <v>124</v>
      </c>
      <c r="C75" s="23" t="s">
        <v>12</v>
      </c>
      <c r="D75" s="24">
        <v>975</v>
      </c>
      <c r="E75" s="25" t="s">
        <v>22</v>
      </c>
      <c r="F75" s="26" t="s">
        <v>235</v>
      </c>
      <c r="G75" s="25" t="s">
        <v>52</v>
      </c>
      <c r="H75" s="12">
        <f>SUM(I75:Q75)</f>
        <v>5173.6260000000002</v>
      </c>
      <c r="I75" s="12">
        <v>800</v>
      </c>
      <c r="J75" s="12">
        <v>800</v>
      </c>
      <c r="K75" s="11">
        <v>800</v>
      </c>
      <c r="L75" s="12">
        <v>800</v>
      </c>
      <c r="M75" s="18">
        <v>500</v>
      </c>
      <c r="N75" s="18">
        <f>500-26.374</f>
        <v>473.62599999999998</v>
      </c>
      <c r="O75" s="12">
        <v>500</v>
      </c>
      <c r="P75" s="12">
        <v>500</v>
      </c>
      <c r="Q75" s="12">
        <v>0</v>
      </c>
    </row>
    <row r="76" spans="1:17" x14ac:dyDescent="0.25">
      <c r="A76" s="23"/>
      <c r="B76" s="23"/>
      <c r="C76" s="23"/>
      <c r="D76" s="24"/>
      <c r="E76" s="25"/>
      <c r="F76" s="26"/>
      <c r="G76" s="25"/>
      <c r="H76" s="12"/>
      <c r="I76" s="12"/>
      <c r="J76" s="12"/>
      <c r="K76" s="11"/>
      <c r="L76" s="12"/>
      <c r="M76" s="18"/>
      <c r="N76" s="18"/>
      <c r="O76" s="12"/>
      <c r="P76" s="12"/>
      <c r="Q76" s="12"/>
    </row>
    <row r="77" spans="1:17" ht="41.4" x14ac:dyDescent="0.25">
      <c r="A77" s="23" t="s">
        <v>122</v>
      </c>
      <c r="B77" s="23" t="s">
        <v>125</v>
      </c>
      <c r="C77" s="23" t="s">
        <v>12</v>
      </c>
      <c r="D77" s="24">
        <v>975</v>
      </c>
      <c r="E77" s="25" t="s">
        <v>22</v>
      </c>
      <c r="F77" s="26" t="s">
        <v>126</v>
      </c>
      <c r="G77" s="25" t="s">
        <v>52</v>
      </c>
      <c r="H77" s="12">
        <f>SUM(I77:Q77)</f>
        <v>18</v>
      </c>
      <c r="I77" s="12">
        <v>9</v>
      </c>
      <c r="J77" s="12">
        <v>9</v>
      </c>
      <c r="K77" s="11">
        <v>0</v>
      </c>
      <c r="L77" s="12">
        <v>0</v>
      </c>
      <c r="M77" s="18">
        <v>0</v>
      </c>
      <c r="N77" s="18">
        <v>0</v>
      </c>
      <c r="O77" s="12">
        <v>0</v>
      </c>
      <c r="P77" s="12">
        <v>0</v>
      </c>
      <c r="Q77" s="12">
        <v>0</v>
      </c>
    </row>
    <row r="78" spans="1:17" x14ac:dyDescent="0.25">
      <c r="A78" s="23" t="s">
        <v>18</v>
      </c>
      <c r="B78" s="64" t="s">
        <v>127</v>
      </c>
      <c r="C78" s="65"/>
      <c r="D78" s="24"/>
      <c r="E78" s="25"/>
      <c r="F78" s="26"/>
      <c r="G78" s="25"/>
      <c r="H78" s="12"/>
      <c r="I78" s="12"/>
      <c r="J78" s="12"/>
      <c r="K78" s="11"/>
      <c r="L78" s="12"/>
      <c r="M78" s="18"/>
      <c r="N78" s="18"/>
      <c r="O78" s="12"/>
      <c r="P78" s="12"/>
      <c r="Q78" s="12"/>
    </row>
    <row r="79" spans="1:17" ht="42.6" x14ac:dyDescent="0.25">
      <c r="A79" s="23" t="s">
        <v>128</v>
      </c>
      <c r="B79" s="23" t="s">
        <v>129</v>
      </c>
      <c r="C79" s="23" t="s">
        <v>12</v>
      </c>
      <c r="D79" s="24">
        <v>975</v>
      </c>
      <c r="E79" s="25" t="s">
        <v>22</v>
      </c>
      <c r="F79" s="26" t="s">
        <v>130</v>
      </c>
      <c r="G79" s="25" t="s">
        <v>52</v>
      </c>
      <c r="H79" s="12">
        <f>SUM(I79:Q79)</f>
        <v>311.32299999999998</v>
      </c>
      <c r="I79" s="12">
        <v>187.5</v>
      </c>
      <c r="J79" s="12">
        <v>77.433000000000007</v>
      </c>
      <c r="K79" s="11">
        <f>46.39</f>
        <v>46.39</v>
      </c>
      <c r="L79" s="12">
        <v>0</v>
      </c>
      <c r="M79" s="18">
        <v>0</v>
      </c>
      <c r="N79" s="18">
        <v>0</v>
      </c>
      <c r="O79" s="12">
        <v>0</v>
      </c>
      <c r="P79" s="12">
        <v>0</v>
      </c>
      <c r="Q79" s="12">
        <v>0</v>
      </c>
    </row>
    <row r="80" spans="1:17" ht="53.25" customHeight="1" x14ac:dyDescent="0.25">
      <c r="A80" s="23" t="s">
        <v>131</v>
      </c>
      <c r="B80" s="23" t="s">
        <v>132</v>
      </c>
      <c r="C80" s="23" t="s">
        <v>12</v>
      </c>
      <c r="D80" s="24">
        <v>975</v>
      </c>
      <c r="E80" s="25" t="s">
        <v>22</v>
      </c>
      <c r="F80" s="26" t="s">
        <v>133</v>
      </c>
      <c r="G80" s="25" t="s">
        <v>52</v>
      </c>
      <c r="H80" s="12">
        <f>SUM(I80:Q80)</f>
        <v>0</v>
      </c>
      <c r="I80" s="12">
        <v>0</v>
      </c>
      <c r="J80" s="12">
        <v>0</v>
      </c>
      <c r="K80" s="11">
        <v>0</v>
      </c>
      <c r="L80" s="12">
        <v>0</v>
      </c>
      <c r="M80" s="18">
        <v>0</v>
      </c>
      <c r="N80" s="18">
        <v>0</v>
      </c>
      <c r="O80" s="12">
        <v>0</v>
      </c>
      <c r="P80" s="12">
        <v>0</v>
      </c>
      <c r="Q80" s="12">
        <v>0</v>
      </c>
    </row>
    <row r="81" spans="1:17" x14ac:dyDescent="0.25">
      <c r="A81" s="23" t="s">
        <v>18</v>
      </c>
      <c r="B81" s="64" t="s">
        <v>134</v>
      </c>
      <c r="C81" s="65"/>
      <c r="D81" s="24"/>
      <c r="E81" s="25"/>
      <c r="F81" s="26"/>
      <c r="G81" s="25"/>
      <c r="H81" s="12"/>
      <c r="I81" s="12"/>
      <c r="J81" s="12"/>
      <c r="K81" s="11"/>
      <c r="L81" s="12"/>
      <c r="M81" s="18"/>
      <c r="N81" s="18"/>
      <c r="O81" s="12"/>
      <c r="P81" s="12"/>
      <c r="Q81" s="12"/>
    </row>
    <row r="82" spans="1:17" ht="79.95" customHeight="1" x14ac:dyDescent="0.25">
      <c r="A82" s="23" t="s">
        <v>135</v>
      </c>
      <c r="B82" s="23" t="s">
        <v>266</v>
      </c>
      <c r="C82" s="23" t="s">
        <v>12</v>
      </c>
      <c r="D82" s="24">
        <v>975</v>
      </c>
      <c r="E82" s="25" t="s">
        <v>22</v>
      </c>
      <c r="F82" s="26" t="s">
        <v>136</v>
      </c>
      <c r="G82" s="25" t="s">
        <v>198</v>
      </c>
      <c r="H82" s="12">
        <f t="shared" ref="H82:H83" si="11">SUM(I82:Q82)</f>
        <v>426.3</v>
      </c>
      <c r="I82" s="12">
        <v>192</v>
      </c>
      <c r="J82" s="12">
        <v>227.3</v>
      </c>
      <c r="K82" s="11">
        <v>0</v>
      </c>
      <c r="L82" s="12">
        <f>7</f>
        <v>7</v>
      </c>
      <c r="M82" s="18">
        <v>0</v>
      </c>
      <c r="N82" s="18">
        <v>0</v>
      </c>
      <c r="O82" s="12">
        <v>0</v>
      </c>
      <c r="P82" s="12">
        <v>0</v>
      </c>
      <c r="Q82" s="12">
        <v>0</v>
      </c>
    </row>
    <row r="83" spans="1:17" ht="74.400000000000006" customHeight="1" x14ac:dyDescent="0.25">
      <c r="A83" s="23" t="s">
        <v>187</v>
      </c>
      <c r="B83" s="23" t="s">
        <v>267</v>
      </c>
      <c r="C83" s="23" t="s">
        <v>12</v>
      </c>
      <c r="D83" s="24">
        <v>975</v>
      </c>
      <c r="E83" s="25" t="s">
        <v>22</v>
      </c>
      <c r="F83" s="26" t="s">
        <v>152</v>
      </c>
      <c r="G83" s="25" t="s">
        <v>198</v>
      </c>
      <c r="H83" s="12">
        <f t="shared" si="11"/>
        <v>277.04599999999999</v>
      </c>
      <c r="I83" s="12">
        <v>0</v>
      </c>
      <c r="J83" s="12">
        <v>0</v>
      </c>
      <c r="K83" s="11">
        <f>169.046</f>
        <v>169.04599999999999</v>
      </c>
      <c r="L83" s="12">
        <v>38</v>
      </c>
      <c r="M83" s="18">
        <f>70</f>
        <v>70</v>
      </c>
      <c r="N83" s="18">
        <v>0</v>
      </c>
      <c r="O83" s="12">
        <v>0</v>
      </c>
      <c r="P83" s="12">
        <v>0</v>
      </c>
      <c r="Q83" s="12">
        <v>0</v>
      </c>
    </row>
    <row r="84" spans="1:17" x14ac:dyDescent="0.25">
      <c r="A84" s="23" t="s">
        <v>18</v>
      </c>
      <c r="B84" s="64" t="s">
        <v>137</v>
      </c>
      <c r="C84" s="65"/>
      <c r="D84" s="24"/>
      <c r="E84" s="25"/>
      <c r="F84" s="26"/>
      <c r="G84" s="25"/>
      <c r="H84" s="12"/>
      <c r="I84" s="12"/>
      <c r="J84" s="12"/>
      <c r="K84" s="11"/>
      <c r="L84" s="12"/>
      <c r="M84" s="18"/>
      <c r="N84" s="18"/>
      <c r="O84" s="12"/>
      <c r="P84" s="12"/>
      <c r="Q84" s="12"/>
    </row>
    <row r="85" spans="1:17" ht="96.6" x14ac:dyDescent="0.25">
      <c r="A85" s="72" t="s">
        <v>138</v>
      </c>
      <c r="B85" s="46" t="s">
        <v>259</v>
      </c>
      <c r="C85" s="23" t="s">
        <v>12</v>
      </c>
      <c r="D85" s="24">
        <v>975</v>
      </c>
      <c r="E85" s="25" t="s">
        <v>140</v>
      </c>
      <c r="F85" s="26" t="s">
        <v>236</v>
      </c>
      <c r="G85" s="25" t="s">
        <v>141</v>
      </c>
      <c r="H85" s="12">
        <f t="shared" ref="H85:H87" si="12">SUM(I85:Q85)</f>
        <v>6504.7269999999999</v>
      </c>
      <c r="I85" s="12">
        <v>1328.134</v>
      </c>
      <c r="J85" s="12">
        <v>761.1</v>
      </c>
      <c r="K85" s="11">
        <v>761.1</v>
      </c>
      <c r="L85" s="12">
        <v>253.7</v>
      </c>
      <c r="M85" s="18">
        <f>393.749+667.209</f>
        <v>1060.9580000000001</v>
      </c>
      <c r="N85" s="18">
        <f>965.273+41.001</f>
        <v>1006.274</v>
      </c>
      <c r="O85" s="12">
        <v>826.06100000000004</v>
      </c>
      <c r="P85" s="12">
        <v>253.7</v>
      </c>
      <c r="Q85" s="12">
        <v>253.7</v>
      </c>
    </row>
    <row r="86" spans="1:17" ht="74.25" customHeight="1" x14ac:dyDescent="0.25">
      <c r="A86" s="73"/>
      <c r="B86" s="46" t="s">
        <v>139</v>
      </c>
      <c r="C86" s="23" t="s">
        <v>12</v>
      </c>
      <c r="D86" s="24">
        <v>975</v>
      </c>
      <c r="E86" s="25" t="s">
        <v>140</v>
      </c>
      <c r="F86" s="26" t="s">
        <v>237</v>
      </c>
      <c r="G86" s="25" t="s">
        <v>141</v>
      </c>
      <c r="H86" s="12">
        <f t="shared" si="12"/>
        <v>1310.2850000000001</v>
      </c>
      <c r="I86" s="12">
        <v>240</v>
      </c>
      <c r="J86" s="12">
        <v>461.7</v>
      </c>
      <c r="K86" s="11">
        <f>608.585</f>
        <v>608.58500000000004</v>
      </c>
      <c r="L86" s="12">
        <v>0</v>
      </c>
      <c r="M86" s="18">
        <v>0</v>
      </c>
      <c r="N86" s="18">
        <v>0</v>
      </c>
      <c r="O86" s="12">
        <v>0</v>
      </c>
      <c r="P86" s="12">
        <v>0</v>
      </c>
      <c r="Q86" s="12">
        <v>0</v>
      </c>
    </row>
    <row r="87" spans="1:17" ht="41.4" customHeight="1" x14ac:dyDescent="0.25">
      <c r="A87" s="73"/>
      <c r="B87" s="46" t="s">
        <v>233</v>
      </c>
      <c r="C87" s="23" t="s">
        <v>12</v>
      </c>
      <c r="D87" s="54">
        <v>975</v>
      </c>
      <c r="E87" s="55" t="s">
        <v>140</v>
      </c>
      <c r="F87" s="56" t="s">
        <v>215</v>
      </c>
      <c r="G87" s="55" t="s">
        <v>141</v>
      </c>
      <c r="H87" s="12">
        <f t="shared" si="12"/>
        <v>3126.6150000000002</v>
      </c>
      <c r="I87" s="12">
        <v>770.94</v>
      </c>
      <c r="J87" s="12">
        <v>745.92499999999995</v>
      </c>
      <c r="K87" s="11">
        <f>885.614</f>
        <v>885.61400000000003</v>
      </c>
      <c r="L87" s="12">
        <f>198.994+525.142</f>
        <v>724.13600000000008</v>
      </c>
      <c r="M87" s="18">
        <v>0</v>
      </c>
      <c r="N87" s="18">
        <v>0</v>
      </c>
      <c r="O87" s="12">
        <v>0</v>
      </c>
      <c r="P87" s="12">
        <v>0</v>
      </c>
      <c r="Q87" s="12">
        <v>0</v>
      </c>
    </row>
    <row r="88" spans="1:17" x14ac:dyDescent="0.25">
      <c r="A88" s="23" t="s">
        <v>18</v>
      </c>
      <c r="B88" s="64" t="s">
        <v>142</v>
      </c>
      <c r="C88" s="65"/>
      <c r="D88" s="24"/>
      <c r="E88" s="25"/>
      <c r="F88" s="26"/>
      <c r="G88" s="25"/>
      <c r="H88" s="12"/>
      <c r="I88" s="12"/>
      <c r="J88" s="12"/>
      <c r="K88" s="11"/>
      <c r="L88" s="12"/>
      <c r="M88" s="18"/>
      <c r="N88" s="18"/>
      <c r="O88" s="12"/>
      <c r="P88" s="12"/>
      <c r="Q88" s="12"/>
    </row>
    <row r="89" spans="1:17" s="2" customFormat="1" ht="55.2" x14ac:dyDescent="0.25">
      <c r="A89" s="69" t="s">
        <v>143</v>
      </c>
      <c r="B89" s="46" t="s">
        <v>251</v>
      </c>
      <c r="C89" s="46" t="s">
        <v>12</v>
      </c>
      <c r="D89" s="47">
        <v>975</v>
      </c>
      <c r="E89" s="48" t="s">
        <v>22</v>
      </c>
      <c r="F89" s="49" t="s">
        <v>144</v>
      </c>
      <c r="G89" s="48" t="s">
        <v>24</v>
      </c>
      <c r="H89" s="12">
        <f t="shared" ref="H89:H92" si="13">SUM(I89:Q89)</f>
        <v>146334.66699999999</v>
      </c>
      <c r="I89" s="11">
        <v>19814.099999999999</v>
      </c>
      <c r="J89" s="11">
        <v>19109.900000000001</v>
      </c>
      <c r="K89" s="11">
        <f>14598.935</f>
        <v>14598.934999999999</v>
      </c>
      <c r="L89" s="11">
        <v>15189.704</v>
      </c>
      <c r="M89" s="18">
        <v>18760.789000000001</v>
      </c>
      <c r="N89" s="18">
        <f>22213.534-23.668-1504.096-64.1-2506.464-1.251-2675</f>
        <v>15438.954999999998</v>
      </c>
      <c r="O89" s="11">
        <f>16109.569+1141.052</f>
        <v>17250.620999999999</v>
      </c>
      <c r="P89" s="11">
        <v>15790.276</v>
      </c>
      <c r="Q89" s="11">
        <v>10381.387000000001</v>
      </c>
    </row>
    <row r="90" spans="1:17" s="2" customFormat="1" ht="71.400000000000006" x14ac:dyDescent="0.25">
      <c r="A90" s="70"/>
      <c r="B90" s="27" t="s">
        <v>273</v>
      </c>
      <c r="C90" s="27" t="s">
        <v>12</v>
      </c>
      <c r="D90" s="28">
        <v>975</v>
      </c>
      <c r="E90" s="29" t="s">
        <v>22</v>
      </c>
      <c r="F90" s="30" t="s">
        <v>221</v>
      </c>
      <c r="G90" s="29" t="s">
        <v>24</v>
      </c>
      <c r="H90" s="12">
        <f t="shared" si="13"/>
        <v>20484.642</v>
      </c>
      <c r="I90" s="18">
        <v>0</v>
      </c>
      <c r="J90" s="18">
        <v>0</v>
      </c>
      <c r="K90" s="18">
        <v>0</v>
      </c>
      <c r="L90" s="18">
        <f>359.8+3.63</f>
        <v>363.43</v>
      </c>
      <c r="M90" s="18">
        <f>710.248+74.532+11.57</f>
        <v>796.35000000000014</v>
      </c>
      <c r="N90" s="18">
        <f>1489.055+63.459+2481.4+40.746</f>
        <v>4074.6600000000003</v>
      </c>
      <c r="O90" s="18">
        <v>4734.2430000000004</v>
      </c>
      <c r="P90" s="18">
        <v>5053.5349999999999</v>
      </c>
      <c r="Q90" s="18">
        <v>5462.424</v>
      </c>
    </row>
    <row r="91" spans="1:17" s="2" customFormat="1" ht="55.2" x14ac:dyDescent="0.25">
      <c r="A91" s="70"/>
      <c r="B91" s="23" t="s">
        <v>258</v>
      </c>
      <c r="C91" s="23" t="s">
        <v>12</v>
      </c>
      <c r="D91" s="24">
        <v>975</v>
      </c>
      <c r="E91" s="25" t="s">
        <v>22</v>
      </c>
      <c r="F91" s="26" t="s">
        <v>249</v>
      </c>
      <c r="G91" s="25" t="s">
        <v>24</v>
      </c>
      <c r="H91" s="12">
        <f t="shared" si="13"/>
        <v>4.2750000000000004</v>
      </c>
      <c r="I91" s="12">
        <v>0</v>
      </c>
      <c r="J91" s="12">
        <v>0</v>
      </c>
      <c r="K91" s="11">
        <v>0</v>
      </c>
      <c r="L91" s="12">
        <v>0</v>
      </c>
      <c r="M91" s="18">
        <v>0</v>
      </c>
      <c r="N91" s="18">
        <v>4.2750000000000004</v>
      </c>
      <c r="O91" s="12">
        <v>0</v>
      </c>
      <c r="P91" s="12">
        <v>0</v>
      </c>
      <c r="Q91" s="12">
        <v>0</v>
      </c>
    </row>
    <row r="92" spans="1:17" s="2" customFormat="1" ht="55.2" x14ac:dyDescent="0.25">
      <c r="A92" s="71"/>
      <c r="B92" s="23" t="s">
        <v>250</v>
      </c>
      <c r="C92" s="23" t="s">
        <v>12</v>
      </c>
      <c r="D92" s="24">
        <v>975</v>
      </c>
      <c r="E92" s="25" t="s">
        <v>22</v>
      </c>
      <c r="F92" s="26" t="s">
        <v>249</v>
      </c>
      <c r="G92" s="25" t="s">
        <v>24</v>
      </c>
      <c r="H92" s="12">
        <f t="shared" si="13"/>
        <v>4.2750000000000004</v>
      </c>
      <c r="I92" s="12">
        <v>0</v>
      </c>
      <c r="J92" s="12">
        <v>0</v>
      </c>
      <c r="K92" s="11">
        <v>0</v>
      </c>
      <c r="L92" s="12">
        <v>0</v>
      </c>
      <c r="M92" s="18">
        <v>0</v>
      </c>
      <c r="N92" s="18">
        <v>4.2750000000000004</v>
      </c>
      <c r="O92" s="12">
        <v>0</v>
      </c>
      <c r="P92" s="12">
        <v>0</v>
      </c>
      <c r="Q92" s="12">
        <v>0</v>
      </c>
    </row>
    <row r="93" spans="1:17" x14ac:dyDescent="0.25">
      <c r="A93" s="23" t="s">
        <v>18</v>
      </c>
      <c r="B93" s="64" t="s">
        <v>142</v>
      </c>
      <c r="C93" s="65"/>
      <c r="D93" s="24"/>
      <c r="E93" s="25"/>
      <c r="F93" s="26"/>
      <c r="G93" s="25"/>
      <c r="H93" s="12"/>
      <c r="I93" s="12"/>
      <c r="J93" s="12"/>
      <c r="K93" s="11"/>
      <c r="L93" s="12"/>
      <c r="M93" s="18"/>
      <c r="N93" s="18"/>
      <c r="O93" s="12"/>
      <c r="P93" s="12"/>
      <c r="Q93" s="12"/>
    </row>
    <row r="94" spans="1:17" ht="45.75" customHeight="1" x14ac:dyDescent="0.25">
      <c r="A94" s="23" t="s">
        <v>145</v>
      </c>
      <c r="B94" s="23" t="s">
        <v>146</v>
      </c>
      <c r="C94" s="23" t="s">
        <v>12</v>
      </c>
      <c r="D94" s="24">
        <v>975</v>
      </c>
      <c r="E94" s="25" t="s">
        <v>22</v>
      </c>
      <c r="F94" s="26" t="s">
        <v>147</v>
      </c>
      <c r="G94" s="25" t="s">
        <v>24</v>
      </c>
      <c r="H94" s="12">
        <f t="shared" ref="H94:H96" si="14">SUM(I94:Q94)</f>
        <v>1045.961</v>
      </c>
      <c r="I94" s="12">
        <v>0</v>
      </c>
      <c r="J94" s="12">
        <v>1045.961</v>
      </c>
      <c r="K94" s="11">
        <v>0</v>
      </c>
      <c r="L94" s="12">
        <v>0</v>
      </c>
      <c r="M94" s="18">
        <v>0</v>
      </c>
      <c r="N94" s="18">
        <v>0</v>
      </c>
      <c r="O94" s="12">
        <v>0</v>
      </c>
      <c r="P94" s="12">
        <v>0</v>
      </c>
      <c r="Q94" s="12">
        <v>0</v>
      </c>
    </row>
    <row r="95" spans="1:17" ht="41.4" x14ac:dyDescent="0.25">
      <c r="A95" s="23" t="s">
        <v>148</v>
      </c>
      <c r="B95" s="23" t="s">
        <v>149</v>
      </c>
      <c r="C95" s="23" t="s">
        <v>12</v>
      </c>
      <c r="D95" s="24">
        <v>975</v>
      </c>
      <c r="E95" s="25" t="s">
        <v>22</v>
      </c>
      <c r="F95" s="26" t="s">
        <v>150</v>
      </c>
      <c r="G95" s="25" t="s">
        <v>24</v>
      </c>
      <c r="H95" s="12">
        <f t="shared" si="14"/>
        <v>735</v>
      </c>
      <c r="I95" s="12">
        <v>115</v>
      </c>
      <c r="J95" s="12">
        <v>75</v>
      </c>
      <c r="K95" s="11">
        <f>140-15</f>
        <v>125</v>
      </c>
      <c r="L95" s="12">
        <v>300</v>
      </c>
      <c r="M95" s="18">
        <v>120</v>
      </c>
      <c r="N95" s="18">
        <v>0</v>
      </c>
      <c r="O95" s="12">
        <v>0</v>
      </c>
      <c r="P95" s="12">
        <v>0</v>
      </c>
      <c r="Q95" s="12">
        <v>0</v>
      </c>
    </row>
    <row r="96" spans="1:17" ht="41.4" x14ac:dyDescent="0.25">
      <c r="A96" s="23" t="s">
        <v>151</v>
      </c>
      <c r="B96" s="23" t="s">
        <v>268</v>
      </c>
      <c r="C96" s="23" t="s">
        <v>12</v>
      </c>
      <c r="D96" s="24">
        <v>975</v>
      </c>
      <c r="E96" s="25" t="s">
        <v>22</v>
      </c>
      <c r="F96" s="26" t="s">
        <v>205</v>
      </c>
      <c r="G96" s="25" t="s">
        <v>24</v>
      </c>
      <c r="H96" s="12">
        <f t="shared" si="14"/>
        <v>438.64300000000003</v>
      </c>
      <c r="I96" s="12">
        <v>179.16</v>
      </c>
      <c r="J96" s="12">
        <v>0</v>
      </c>
      <c r="K96" s="11">
        <f>111.669</f>
        <v>111.669</v>
      </c>
      <c r="L96" s="12">
        <f>100+60-12.19+0.004</f>
        <v>147.81399999999999</v>
      </c>
      <c r="M96" s="18">
        <v>0</v>
      </c>
      <c r="N96" s="18">
        <v>0</v>
      </c>
      <c r="O96" s="12">
        <v>0</v>
      </c>
      <c r="P96" s="12">
        <v>0</v>
      </c>
      <c r="Q96" s="12">
        <v>0</v>
      </c>
    </row>
    <row r="97" spans="1:17" ht="31.5" customHeight="1" x14ac:dyDescent="0.25">
      <c r="A97" s="23" t="s">
        <v>18</v>
      </c>
      <c r="B97" s="64" t="s">
        <v>153</v>
      </c>
      <c r="C97" s="65"/>
      <c r="D97" s="24"/>
      <c r="E97" s="25"/>
      <c r="F97" s="26"/>
      <c r="G97" s="25"/>
      <c r="H97" s="12"/>
      <c r="I97" s="12"/>
      <c r="J97" s="12"/>
      <c r="K97" s="11"/>
      <c r="L97" s="12"/>
      <c r="M97" s="18"/>
      <c r="N97" s="18"/>
      <c r="O97" s="12"/>
      <c r="P97" s="12"/>
      <c r="Q97" s="12"/>
    </row>
    <row r="98" spans="1:17" ht="82.8" x14ac:dyDescent="0.25">
      <c r="A98" s="66" t="s">
        <v>209</v>
      </c>
      <c r="B98" s="23" t="s">
        <v>154</v>
      </c>
      <c r="C98" s="23" t="s">
        <v>12</v>
      </c>
      <c r="D98" s="24">
        <v>975</v>
      </c>
      <c r="E98" s="25" t="s">
        <v>22</v>
      </c>
      <c r="F98" s="26" t="s">
        <v>156</v>
      </c>
      <c r="G98" s="25" t="s">
        <v>24</v>
      </c>
      <c r="H98" s="12">
        <f t="shared" ref="H98:H101" si="15">SUM(I98:Q98)</f>
        <v>290.54000000000002</v>
      </c>
      <c r="I98" s="12">
        <v>290.54000000000002</v>
      </c>
      <c r="J98" s="12">
        <v>0</v>
      </c>
      <c r="K98" s="11">
        <v>0</v>
      </c>
      <c r="L98" s="12">
        <v>0</v>
      </c>
      <c r="M98" s="18">
        <v>0</v>
      </c>
      <c r="N98" s="18">
        <v>0</v>
      </c>
      <c r="O98" s="12">
        <v>0</v>
      </c>
      <c r="P98" s="12">
        <v>0</v>
      </c>
      <c r="Q98" s="12">
        <v>0</v>
      </c>
    </row>
    <row r="99" spans="1:17" ht="69" x14ac:dyDescent="0.25">
      <c r="A99" s="67"/>
      <c r="B99" s="23" t="s">
        <v>155</v>
      </c>
      <c r="C99" s="23" t="s">
        <v>12</v>
      </c>
      <c r="D99" s="24">
        <v>975</v>
      </c>
      <c r="E99" s="25" t="s">
        <v>22</v>
      </c>
      <c r="F99" s="26" t="s">
        <v>157</v>
      </c>
      <c r="G99" s="25" t="s">
        <v>24</v>
      </c>
      <c r="H99" s="12">
        <f t="shared" si="15"/>
        <v>1335.5</v>
      </c>
      <c r="I99" s="12">
        <v>1335.5</v>
      </c>
      <c r="J99" s="12">
        <v>0</v>
      </c>
      <c r="K99" s="11">
        <v>0</v>
      </c>
      <c r="L99" s="12">
        <v>0</v>
      </c>
      <c r="M99" s="18">
        <v>0</v>
      </c>
      <c r="N99" s="18">
        <v>0</v>
      </c>
      <c r="O99" s="12">
        <v>0</v>
      </c>
      <c r="P99" s="12">
        <v>0</v>
      </c>
      <c r="Q99" s="12">
        <v>0</v>
      </c>
    </row>
    <row r="100" spans="1:17" ht="41.4" x14ac:dyDescent="0.25">
      <c r="A100" s="50" t="s">
        <v>210</v>
      </c>
      <c r="B100" s="23" t="s">
        <v>204</v>
      </c>
      <c r="C100" s="23" t="s">
        <v>12</v>
      </c>
      <c r="D100" s="24">
        <v>975</v>
      </c>
      <c r="E100" s="25" t="s">
        <v>22</v>
      </c>
      <c r="F100" s="26" t="s">
        <v>201</v>
      </c>
      <c r="G100" s="25" t="s">
        <v>24</v>
      </c>
      <c r="H100" s="12">
        <f t="shared" si="15"/>
        <v>76.084999999999994</v>
      </c>
      <c r="I100" s="12">
        <v>0</v>
      </c>
      <c r="J100" s="12">
        <v>0</v>
      </c>
      <c r="K100" s="11">
        <f>66.085</f>
        <v>66.084999999999994</v>
      </c>
      <c r="L100" s="12">
        <v>10</v>
      </c>
      <c r="M100" s="18">
        <v>0</v>
      </c>
      <c r="N100" s="18">
        <v>0</v>
      </c>
      <c r="O100" s="12">
        <v>0</v>
      </c>
      <c r="P100" s="12">
        <v>0</v>
      </c>
      <c r="Q100" s="12">
        <v>0</v>
      </c>
    </row>
    <row r="101" spans="1:17" ht="71.400000000000006" x14ac:dyDescent="0.25">
      <c r="A101" s="50" t="s">
        <v>211</v>
      </c>
      <c r="B101" s="23" t="s">
        <v>260</v>
      </c>
      <c r="C101" s="23" t="s">
        <v>12</v>
      </c>
      <c r="D101" s="24">
        <v>975</v>
      </c>
      <c r="E101" s="25" t="s">
        <v>22</v>
      </c>
      <c r="F101" s="26" t="s">
        <v>230</v>
      </c>
      <c r="G101" s="25" t="s">
        <v>24</v>
      </c>
      <c r="H101" s="12">
        <f t="shared" si="15"/>
        <v>100.001</v>
      </c>
      <c r="I101" s="12">
        <v>0</v>
      </c>
      <c r="J101" s="12">
        <v>0</v>
      </c>
      <c r="K101" s="11">
        <v>0</v>
      </c>
      <c r="L101" s="12">
        <f>33.3+0.034</f>
        <v>33.333999999999996</v>
      </c>
      <c r="M101" s="18">
        <v>0</v>
      </c>
      <c r="N101" s="18">
        <v>66.667000000000002</v>
      </c>
      <c r="O101" s="12">
        <v>0</v>
      </c>
      <c r="P101" s="12">
        <v>0</v>
      </c>
      <c r="Q101" s="12">
        <v>0</v>
      </c>
    </row>
    <row r="102" spans="1:17" ht="71.400000000000006" x14ac:dyDescent="0.25">
      <c r="A102" s="50" t="s">
        <v>216</v>
      </c>
      <c r="B102" s="23" t="s">
        <v>261</v>
      </c>
      <c r="C102" s="23" t="s">
        <v>12</v>
      </c>
      <c r="D102" s="24">
        <v>975</v>
      </c>
      <c r="E102" s="25" t="s">
        <v>22</v>
      </c>
      <c r="F102" s="26" t="s">
        <v>230</v>
      </c>
      <c r="G102" s="25" t="s">
        <v>24</v>
      </c>
      <c r="H102" s="12">
        <f>SUM(I102:Q102)</f>
        <v>900</v>
      </c>
      <c r="I102" s="12">
        <v>0</v>
      </c>
      <c r="J102" s="12">
        <v>0</v>
      </c>
      <c r="K102" s="11">
        <v>0</v>
      </c>
      <c r="L102" s="12">
        <v>300</v>
      </c>
      <c r="M102" s="18">
        <v>0</v>
      </c>
      <c r="N102" s="18">
        <v>600</v>
      </c>
      <c r="O102" s="12">
        <v>0</v>
      </c>
      <c r="P102" s="12">
        <v>0</v>
      </c>
      <c r="Q102" s="12">
        <v>0</v>
      </c>
    </row>
    <row r="103" spans="1:17" s="19" customFormat="1" ht="72.599999999999994" x14ac:dyDescent="0.25">
      <c r="A103" s="51" t="s">
        <v>158</v>
      </c>
      <c r="B103" s="51" t="s">
        <v>159</v>
      </c>
      <c r="C103" s="51" t="s">
        <v>225</v>
      </c>
      <c r="D103" s="52"/>
      <c r="E103" s="52"/>
      <c r="F103" s="53" t="s">
        <v>160</v>
      </c>
      <c r="G103" s="52"/>
      <c r="H103" s="17">
        <f>SUM(I103:Q103)</f>
        <v>15187.256999999998</v>
      </c>
      <c r="I103" s="17">
        <f>I105+I106+I108</f>
        <v>1415.6</v>
      </c>
      <c r="J103" s="17">
        <f t="shared" ref="J103:M103" si="16">J105+J106+J108</f>
        <v>2186.5190000000002</v>
      </c>
      <c r="K103" s="17">
        <f t="shared" si="16"/>
        <v>1687.818</v>
      </c>
      <c r="L103" s="17">
        <f t="shared" si="16"/>
        <v>1917.6180000000002</v>
      </c>
      <c r="M103" s="17">
        <f t="shared" si="16"/>
        <v>1798.085</v>
      </c>
      <c r="N103" s="17">
        <f>N105+N106+N108+N107</f>
        <v>1304.1659999999999</v>
      </c>
      <c r="O103" s="17">
        <f>O105+O106+O108+O107</f>
        <v>1625.817</v>
      </c>
      <c r="P103" s="17">
        <f t="shared" ref="P103:Q103" si="17">P105+P106+P108+P107</f>
        <v>1625.817</v>
      </c>
      <c r="Q103" s="17">
        <f t="shared" si="17"/>
        <v>1625.817</v>
      </c>
    </row>
    <row r="104" spans="1:17" ht="30" customHeight="1" x14ac:dyDescent="0.25">
      <c r="A104" s="23" t="s">
        <v>18</v>
      </c>
      <c r="B104" s="64" t="s">
        <v>159</v>
      </c>
      <c r="C104" s="65"/>
      <c r="D104" s="24"/>
      <c r="E104" s="25"/>
      <c r="F104" s="26"/>
      <c r="G104" s="25"/>
      <c r="H104" s="12"/>
      <c r="I104" s="12"/>
      <c r="J104" s="12"/>
      <c r="K104" s="11"/>
      <c r="L104" s="12"/>
      <c r="M104" s="18"/>
      <c r="N104" s="18"/>
      <c r="O104" s="12"/>
      <c r="P104" s="12"/>
      <c r="Q104" s="12"/>
    </row>
    <row r="105" spans="1:17" ht="82.95" customHeight="1" x14ac:dyDescent="0.25">
      <c r="A105" s="66" t="s">
        <v>161</v>
      </c>
      <c r="B105" s="23" t="s">
        <v>262</v>
      </c>
      <c r="C105" s="23" t="s">
        <v>12</v>
      </c>
      <c r="D105" s="24">
        <v>975</v>
      </c>
      <c r="E105" s="25" t="s">
        <v>22</v>
      </c>
      <c r="F105" s="26" t="s">
        <v>232</v>
      </c>
      <c r="G105" s="25" t="s">
        <v>164</v>
      </c>
      <c r="H105" s="12">
        <f>SUM(I105:Q105)</f>
        <v>6050.706000000001</v>
      </c>
      <c r="I105" s="12">
        <v>350.02600000000001</v>
      </c>
      <c r="J105" s="12">
        <v>660.71799999999996</v>
      </c>
      <c r="K105" s="11">
        <f>862.135</f>
        <v>862.13499999999999</v>
      </c>
      <c r="L105" s="12">
        <v>986.77599999999995</v>
      </c>
      <c r="M105" s="18">
        <f>994.65</f>
        <v>994.65</v>
      </c>
      <c r="N105" s="18">
        <f>468.2-10.8</f>
        <v>457.4</v>
      </c>
      <c r="O105" s="12">
        <v>579.66700000000003</v>
      </c>
      <c r="P105" s="12">
        <v>579.66700000000003</v>
      </c>
      <c r="Q105" s="12">
        <v>579.66700000000003</v>
      </c>
    </row>
    <row r="106" spans="1:17" ht="76.95" customHeight="1" x14ac:dyDescent="0.25">
      <c r="A106" s="68"/>
      <c r="B106" s="23" t="s">
        <v>263</v>
      </c>
      <c r="C106" s="23" t="s">
        <v>12</v>
      </c>
      <c r="D106" s="24">
        <v>975</v>
      </c>
      <c r="E106" s="25" t="s">
        <v>22</v>
      </c>
      <c r="F106" s="26" t="s">
        <v>231</v>
      </c>
      <c r="G106" s="25" t="s">
        <v>24</v>
      </c>
      <c r="H106" s="12">
        <f>SUM(I106:Q106)</f>
        <v>6964.5</v>
      </c>
      <c r="I106" s="12">
        <v>707.8</v>
      </c>
      <c r="J106" s="12">
        <v>851.8</v>
      </c>
      <c r="K106" s="11">
        <v>729</v>
      </c>
      <c r="L106" s="12">
        <f>715.9-142.4+144.7</f>
        <v>718.2</v>
      </c>
      <c r="M106" s="18">
        <f>663.1</f>
        <v>663.1</v>
      </c>
      <c r="N106" s="18">
        <f>702.3-16.2</f>
        <v>686.09999999999991</v>
      </c>
      <c r="O106" s="12">
        <v>869.5</v>
      </c>
      <c r="P106" s="12">
        <v>869.5</v>
      </c>
      <c r="Q106" s="12">
        <v>869.5</v>
      </c>
    </row>
    <row r="107" spans="1:17" ht="76.95" customHeight="1" x14ac:dyDescent="0.25">
      <c r="A107" s="67"/>
      <c r="B107" s="23" t="s">
        <v>252</v>
      </c>
      <c r="C107" s="23" t="s">
        <v>12</v>
      </c>
      <c r="D107" s="24">
        <v>975</v>
      </c>
      <c r="E107" s="25" t="s">
        <v>22</v>
      </c>
      <c r="F107" s="26" t="s">
        <v>253</v>
      </c>
      <c r="G107" s="25" t="s">
        <v>24</v>
      </c>
      <c r="H107" s="12">
        <f>SUM(I107:Q107)</f>
        <v>75.599999999999994</v>
      </c>
      <c r="I107" s="12">
        <v>0</v>
      </c>
      <c r="J107" s="12">
        <v>0</v>
      </c>
      <c r="K107" s="11">
        <v>0</v>
      </c>
      <c r="L107" s="12">
        <v>0</v>
      </c>
      <c r="M107" s="18">
        <v>0</v>
      </c>
      <c r="N107" s="18">
        <v>15.6</v>
      </c>
      <c r="O107" s="12">
        <v>20</v>
      </c>
      <c r="P107" s="12">
        <v>20</v>
      </c>
      <c r="Q107" s="12">
        <v>20</v>
      </c>
    </row>
    <row r="108" spans="1:17" ht="41.4" x14ac:dyDescent="0.25">
      <c r="A108" s="23" t="s">
        <v>162</v>
      </c>
      <c r="B108" s="23" t="s">
        <v>163</v>
      </c>
      <c r="C108" s="23" t="s">
        <v>12</v>
      </c>
      <c r="D108" s="24">
        <v>975</v>
      </c>
      <c r="E108" s="25" t="s">
        <v>22</v>
      </c>
      <c r="F108" s="26" t="s">
        <v>274</v>
      </c>
      <c r="G108" s="25" t="s">
        <v>53</v>
      </c>
      <c r="H108" s="12">
        <f>SUM(I108:Q108)</f>
        <v>2096.4510000000005</v>
      </c>
      <c r="I108" s="12">
        <v>357.774</v>
      </c>
      <c r="J108" s="12">
        <v>674.00099999999998</v>
      </c>
      <c r="K108" s="11">
        <f>96.683</f>
        <v>96.683000000000007</v>
      </c>
      <c r="L108" s="12">
        <v>212.642</v>
      </c>
      <c r="M108" s="18">
        <v>140.33500000000001</v>
      </c>
      <c r="N108" s="18">
        <v>145.066</v>
      </c>
      <c r="O108" s="12">
        <v>156.65</v>
      </c>
      <c r="P108" s="12">
        <v>156.65</v>
      </c>
      <c r="Q108" s="12">
        <v>156.65</v>
      </c>
    </row>
    <row r="109" spans="1:17" ht="72.599999999999994" x14ac:dyDescent="0.25">
      <c r="A109" s="3" t="s">
        <v>165</v>
      </c>
      <c r="B109" s="3" t="s">
        <v>166</v>
      </c>
      <c r="C109" s="3" t="s">
        <v>223</v>
      </c>
      <c r="D109" s="4"/>
      <c r="E109" s="4"/>
      <c r="F109" s="5" t="s">
        <v>167</v>
      </c>
      <c r="G109" s="4"/>
      <c r="H109" s="10">
        <f>SUM(I109:Q109)</f>
        <v>230.881</v>
      </c>
      <c r="I109" s="10">
        <f>I111+I113</f>
        <v>48.6</v>
      </c>
      <c r="J109" s="10">
        <f t="shared" ref="J109:L109" si="18">J111+J113</f>
        <v>45.545000000000002</v>
      </c>
      <c r="K109" s="13">
        <f t="shared" si="18"/>
        <v>53.6</v>
      </c>
      <c r="L109" s="10">
        <f t="shared" si="18"/>
        <v>17.135999999999999</v>
      </c>
      <c r="M109" s="17">
        <f>M111+M113</f>
        <v>66</v>
      </c>
      <c r="N109" s="17">
        <f t="shared" ref="N109:O109" si="19">N111+N113</f>
        <v>0</v>
      </c>
      <c r="O109" s="10">
        <f t="shared" si="19"/>
        <v>0</v>
      </c>
      <c r="P109" s="10">
        <f t="shared" ref="P109:Q109" si="20">P111+P113</f>
        <v>0</v>
      </c>
      <c r="Q109" s="10">
        <f t="shared" si="20"/>
        <v>0</v>
      </c>
    </row>
    <row r="110" spans="1:17" ht="31.5" customHeight="1" x14ac:dyDescent="0.25">
      <c r="A110" s="23" t="s">
        <v>18</v>
      </c>
      <c r="B110" s="64" t="s">
        <v>168</v>
      </c>
      <c r="C110" s="65"/>
      <c r="D110" s="24"/>
      <c r="E110" s="25"/>
      <c r="F110" s="26"/>
      <c r="G110" s="25"/>
      <c r="H110" s="12"/>
      <c r="I110" s="12"/>
      <c r="J110" s="12"/>
      <c r="K110" s="11"/>
      <c r="L110" s="12"/>
      <c r="M110" s="18"/>
      <c r="N110" s="18"/>
      <c r="O110" s="12"/>
      <c r="P110" s="12"/>
      <c r="Q110" s="12"/>
    </row>
    <row r="111" spans="1:17" ht="41.4" x14ac:dyDescent="0.25">
      <c r="A111" s="23" t="s">
        <v>170</v>
      </c>
      <c r="B111" s="23" t="s">
        <v>169</v>
      </c>
      <c r="C111" s="23" t="s">
        <v>12</v>
      </c>
      <c r="D111" s="24">
        <v>975</v>
      </c>
      <c r="E111" s="25" t="s">
        <v>22</v>
      </c>
      <c r="F111" s="26" t="s">
        <v>171</v>
      </c>
      <c r="G111" s="25" t="s">
        <v>172</v>
      </c>
      <c r="H111" s="12">
        <f>SUM(I111:Q111)</f>
        <v>142.03100000000001</v>
      </c>
      <c r="I111" s="12">
        <v>27.5</v>
      </c>
      <c r="J111" s="12">
        <v>24.895</v>
      </c>
      <c r="K111" s="11">
        <f>32.5</f>
        <v>32.5</v>
      </c>
      <c r="L111" s="12">
        <f>12-7.864</f>
        <v>4.1360000000000001</v>
      </c>
      <c r="M111" s="18">
        <v>53</v>
      </c>
      <c r="N111" s="18">
        <v>0</v>
      </c>
      <c r="O111" s="12">
        <v>0</v>
      </c>
      <c r="P111" s="12">
        <v>0</v>
      </c>
      <c r="Q111" s="12">
        <v>0</v>
      </c>
    </row>
    <row r="112" spans="1:17" ht="46.5" customHeight="1" x14ac:dyDescent="0.25">
      <c r="A112" s="23" t="s">
        <v>18</v>
      </c>
      <c r="B112" s="64" t="s">
        <v>173</v>
      </c>
      <c r="C112" s="65"/>
      <c r="D112" s="24"/>
      <c r="E112" s="25"/>
      <c r="F112" s="26"/>
      <c r="G112" s="25"/>
      <c r="H112" s="12"/>
      <c r="I112" s="12"/>
      <c r="J112" s="12"/>
      <c r="K112" s="11"/>
      <c r="L112" s="12"/>
      <c r="M112" s="18"/>
      <c r="N112" s="18"/>
      <c r="O112" s="12"/>
      <c r="P112" s="12"/>
      <c r="Q112" s="12"/>
    </row>
    <row r="113" spans="1:17" ht="41.4" x14ac:dyDescent="0.25">
      <c r="A113" s="23" t="s">
        <v>174</v>
      </c>
      <c r="B113" s="23" t="s">
        <v>175</v>
      </c>
      <c r="C113" s="23" t="s">
        <v>12</v>
      </c>
      <c r="D113" s="24">
        <v>975</v>
      </c>
      <c r="E113" s="25" t="s">
        <v>22</v>
      </c>
      <c r="F113" s="26" t="s">
        <v>188</v>
      </c>
      <c r="G113" s="25" t="s">
        <v>172</v>
      </c>
      <c r="H113" s="12">
        <f>SUM(I113:Q113)</f>
        <v>88.85</v>
      </c>
      <c r="I113" s="12">
        <v>21.1</v>
      </c>
      <c r="J113" s="12">
        <v>20.65</v>
      </c>
      <c r="K113" s="11">
        <v>21.1</v>
      </c>
      <c r="L113" s="12">
        <v>13</v>
      </c>
      <c r="M113" s="18">
        <v>13</v>
      </c>
      <c r="N113" s="18">
        <v>0</v>
      </c>
      <c r="O113" s="12">
        <v>0</v>
      </c>
      <c r="P113" s="12">
        <v>0</v>
      </c>
      <c r="Q113" s="12">
        <v>0</v>
      </c>
    </row>
    <row r="114" spans="1:17" ht="72.599999999999994" x14ac:dyDescent="0.25">
      <c r="A114" s="3" t="s">
        <v>176</v>
      </c>
      <c r="B114" s="3" t="s">
        <v>177</v>
      </c>
      <c r="C114" s="3" t="s">
        <v>225</v>
      </c>
      <c r="D114" s="4"/>
      <c r="E114" s="4"/>
      <c r="F114" s="5" t="s">
        <v>178</v>
      </c>
      <c r="G114" s="4"/>
      <c r="H114" s="10">
        <f>SUM(I114:Q114)</f>
        <v>179930.67800000001</v>
      </c>
      <c r="I114" s="10">
        <f>I116+I120</f>
        <v>14457.853999999999</v>
      </c>
      <c r="J114" s="10">
        <f t="shared" ref="J114:M114" si="21">J116+J120</f>
        <v>17711</v>
      </c>
      <c r="K114" s="13">
        <f t="shared" si="21"/>
        <v>18075.885999999999</v>
      </c>
      <c r="L114" s="10">
        <f t="shared" si="21"/>
        <v>17562.537</v>
      </c>
      <c r="M114" s="17">
        <f t="shared" si="21"/>
        <v>18587.968000000001</v>
      </c>
      <c r="N114" s="17">
        <f t="shared" ref="N114:O114" si="22">N116+N120</f>
        <v>19978.394</v>
      </c>
      <c r="O114" s="10">
        <f t="shared" si="22"/>
        <v>24519.012999999999</v>
      </c>
      <c r="P114" s="10">
        <f t="shared" ref="P114:Q114" si="23">P116+P120</f>
        <v>24519.012999999999</v>
      </c>
      <c r="Q114" s="10">
        <f t="shared" si="23"/>
        <v>24519.012999999999</v>
      </c>
    </row>
    <row r="115" spans="1:17" ht="32.25" customHeight="1" x14ac:dyDescent="0.25">
      <c r="A115" s="23" t="s">
        <v>18</v>
      </c>
      <c r="B115" s="64" t="s">
        <v>179</v>
      </c>
      <c r="C115" s="65"/>
      <c r="D115" s="24"/>
      <c r="E115" s="25"/>
      <c r="F115" s="26"/>
      <c r="G115" s="25"/>
      <c r="H115" s="12"/>
      <c r="I115" s="12"/>
      <c r="J115" s="12"/>
      <c r="K115" s="11"/>
      <c r="L115" s="12"/>
      <c r="M115" s="18"/>
      <c r="N115" s="18"/>
      <c r="O115" s="12"/>
      <c r="P115" s="12"/>
      <c r="Q115" s="12"/>
    </row>
    <row r="116" spans="1:17" x14ac:dyDescent="0.25">
      <c r="A116" s="66" t="s">
        <v>180</v>
      </c>
      <c r="B116" s="74" t="s">
        <v>182</v>
      </c>
      <c r="C116" s="74" t="s">
        <v>12</v>
      </c>
      <c r="D116" s="74">
        <v>975</v>
      </c>
      <c r="E116" s="77" t="s">
        <v>22</v>
      </c>
      <c r="F116" s="80" t="s">
        <v>184</v>
      </c>
      <c r="G116" s="25"/>
      <c r="H116" s="12">
        <f>SUM(I116:Q116)</f>
        <v>168316.02600000001</v>
      </c>
      <c r="I116" s="12">
        <v>2843.2020000000002</v>
      </c>
      <c r="J116" s="12">
        <v>17711</v>
      </c>
      <c r="K116" s="11">
        <f>18075.886</f>
        <v>18075.885999999999</v>
      </c>
      <c r="L116" s="12">
        <v>17562.537</v>
      </c>
      <c r="M116" s="18">
        <v>18587.968000000001</v>
      </c>
      <c r="N116" s="18">
        <f>SUM(N117:N119)</f>
        <v>19978.394</v>
      </c>
      <c r="O116" s="12">
        <f>SUM(O117:O119)</f>
        <v>24519.012999999999</v>
      </c>
      <c r="P116" s="12">
        <f t="shared" ref="P116:Q116" si="24">SUM(P117:P119)</f>
        <v>24519.012999999999</v>
      </c>
      <c r="Q116" s="12">
        <f t="shared" si="24"/>
        <v>24519.012999999999</v>
      </c>
    </row>
    <row r="117" spans="1:17" x14ac:dyDescent="0.25">
      <c r="A117" s="68"/>
      <c r="B117" s="75"/>
      <c r="C117" s="75"/>
      <c r="D117" s="75"/>
      <c r="E117" s="78"/>
      <c r="F117" s="81"/>
      <c r="G117" s="25" t="s">
        <v>240</v>
      </c>
      <c r="H117" s="12"/>
      <c r="I117" s="12"/>
      <c r="J117" s="12"/>
      <c r="K117" s="11"/>
      <c r="L117" s="12"/>
      <c r="M117" s="21">
        <v>14411.605</v>
      </c>
      <c r="N117" s="21">
        <f>16636.627+311.609+1428.97-41.514</f>
        <v>18335.692000000003</v>
      </c>
      <c r="O117" s="22">
        <v>23213.012999999999</v>
      </c>
      <c r="P117" s="22">
        <v>23213.012999999999</v>
      </c>
      <c r="Q117" s="22">
        <v>23213.012999999999</v>
      </c>
    </row>
    <row r="118" spans="1:17" x14ac:dyDescent="0.25">
      <c r="A118" s="68"/>
      <c r="B118" s="75"/>
      <c r="C118" s="75"/>
      <c r="D118" s="75"/>
      <c r="E118" s="78"/>
      <c r="F118" s="81"/>
      <c r="G118" s="25" t="s">
        <v>52</v>
      </c>
      <c r="H118" s="12"/>
      <c r="I118" s="12"/>
      <c r="J118" s="12"/>
      <c r="K118" s="11"/>
      <c r="L118" s="12"/>
      <c r="M118" s="21">
        <v>4134.9040000000005</v>
      </c>
      <c r="N118" s="21">
        <f>20+1646.038+14.897-71.336</f>
        <v>1609.5989999999999</v>
      </c>
      <c r="O118" s="22">
        <v>1284.5999999999999</v>
      </c>
      <c r="P118" s="22">
        <v>1284.5999999999999</v>
      </c>
      <c r="Q118" s="22">
        <v>1284.5999999999999</v>
      </c>
    </row>
    <row r="119" spans="1:17" x14ac:dyDescent="0.25">
      <c r="A119" s="67"/>
      <c r="B119" s="76"/>
      <c r="C119" s="76"/>
      <c r="D119" s="76"/>
      <c r="E119" s="79"/>
      <c r="F119" s="82"/>
      <c r="G119" s="25" t="s">
        <v>241</v>
      </c>
      <c r="H119" s="12"/>
      <c r="I119" s="12"/>
      <c r="J119" s="12"/>
      <c r="K119" s="11"/>
      <c r="L119" s="12"/>
      <c r="M119" s="21">
        <v>41.459000000000003</v>
      </c>
      <c r="N119" s="21">
        <f>48-14.897</f>
        <v>33.103000000000002</v>
      </c>
      <c r="O119" s="22">
        <v>21.4</v>
      </c>
      <c r="P119" s="22">
        <v>21.4</v>
      </c>
      <c r="Q119" s="22">
        <v>21.4</v>
      </c>
    </row>
    <row r="120" spans="1:17" ht="52.5" customHeight="1" x14ac:dyDescent="0.25">
      <c r="A120" s="23" t="s">
        <v>181</v>
      </c>
      <c r="B120" s="23" t="s">
        <v>183</v>
      </c>
      <c r="C120" s="23" t="s">
        <v>12</v>
      </c>
      <c r="D120" s="24">
        <v>975</v>
      </c>
      <c r="E120" s="25" t="s">
        <v>22</v>
      </c>
      <c r="F120" s="26" t="s">
        <v>186</v>
      </c>
      <c r="G120" s="25" t="s">
        <v>185</v>
      </c>
      <c r="H120" s="12">
        <f>SUM(I120:O120)</f>
        <v>11614.652</v>
      </c>
      <c r="I120" s="12">
        <v>11614.652</v>
      </c>
      <c r="J120" s="12">
        <v>0</v>
      </c>
      <c r="K120" s="11">
        <v>0</v>
      </c>
      <c r="L120" s="12">
        <v>0</v>
      </c>
      <c r="M120" s="18">
        <v>0</v>
      </c>
      <c r="N120" s="18">
        <v>0</v>
      </c>
      <c r="O120" s="12">
        <v>0</v>
      </c>
      <c r="P120" s="12">
        <v>0</v>
      </c>
      <c r="Q120" s="12">
        <v>0</v>
      </c>
    </row>
  </sheetData>
  <mergeCells count="43">
    <mergeCell ref="M2:Q2"/>
    <mergeCell ref="L3:Q3"/>
    <mergeCell ref="H7:Q7"/>
    <mergeCell ref="A5:Q5"/>
    <mergeCell ref="A49:A50"/>
    <mergeCell ref="D7:G7"/>
    <mergeCell ref="B20:C20"/>
    <mergeCell ref="B11:C11"/>
    <mergeCell ref="A17:A18"/>
    <mergeCell ref="A42:A47"/>
    <mergeCell ref="C7:C8"/>
    <mergeCell ref="A7:A8"/>
    <mergeCell ref="B7:B8"/>
    <mergeCell ref="A23:A24"/>
    <mergeCell ref="A116:A119"/>
    <mergeCell ref="D116:D119"/>
    <mergeCell ref="E116:E119"/>
    <mergeCell ref="F116:F119"/>
    <mergeCell ref="C116:C119"/>
    <mergeCell ref="B116:B119"/>
    <mergeCell ref="A12:A16"/>
    <mergeCell ref="A35:A39"/>
    <mergeCell ref="A89:A92"/>
    <mergeCell ref="A85:A87"/>
    <mergeCell ref="B88:C88"/>
    <mergeCell ref="B78:C78"/>
    <mergeCell ref="B59:C59"/>
    <mergeCell ref="A60:A62"/>
    <mergeCell ref="B63:C63"/>
    <mergeCell ref="B72:C72"/>
    <mergeCell ref="B74:C74"/>
    <mergeCell ref="B81:C81"/>
    <mergeCell ref="B25:C25"/>
    <mergeCell ref="B84:C84"/>
    <mergeCell ref="A66:A67"/>
    <mergeCell ref="B115:C115"/>
    <mergeCell ref="A98:A99"/>
    <mergeCell ref="B104:C104"/>
    <mergeCell ref="B110:C110"/>
    <mergeCell ref="B112:C112"/>
    <mergeCell ref="A105:A107"/>
    <mergeCell ref="B97:C97"/>
    <mergeCell ref="B93:C93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2020-04-22T09:30:42Z</dcterms:modified>
</cp:coreProperties>
</file>