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Лист1!$A$1:$J$269</definedName>
  </definedNames>
  <calcPr calcId="152511"/>
</workbook>
</file>

<file path=xl/calcChain.xml><?xml version="1.0" encoding="utf-8"?>
<calcChain xmlns="http://schemas.openxmlformats.org/spreadsheetml/2006/main">
  <c r="I75" i="1" l="1"/>
  <c r="I74" i="1"/>
  <c r="I11" i="1"/>
  <c r="I13" i="1"/>
  <c r="I12" i="1"/>
  <c r="E74" i="1"/>
  <c r="K74" i="1"/>
  <c r="L74" i="1"/>
  <c r="E75" i="1"/>
  <c r="F75" i="1"/>
  <c r="J75" i="1"/>
  <c r="K75" i="1"/>
  <c r="L75" i="1"/>
  <c r="D75" i="1"/>
  <c r="J160" i="1"/>
  <c r="G160" i="1"/>
  <c r="L159" i="1"/>
  <c r="K159" i="1"/>
  <c r="J159" i="1"/>
  <c r="I159" i="1"/>
  <c r="H159" i="1"/>
  <c r="G159" i="1"/>
  <c r="F159" i="1"/>
  <c r="E159" i="1"/>
  <c r="D159" i="1"/>
  <c r="J193" i="1" l="1"/>
  <c r="J62" i="1"/>
  <c r="J16" i="1"/>
  <c r="L267" i="1"/>
  <c r="K267" i="1"/>
  <c r="L264" i="1"/>
  <c r="K264" i="1"/>
  <c r="L263" i="1"/>
  <c r="K263" i="1"/>
  <c r="L262" i="1"/>
  <c r="K262" i="1"/>
  <c r="L258" i="1"/>
  <c r="K258" i="1"/>
  <c r="L255" i="1"/>
  <c r="K255" i="1"/>
  <c r="L254" i="1"/>
  <c r="K254" i="1"/>
  <c r="L253" i="1"/>
  <c r="K253" i="1"/>
  <c r="K252" i="1" s="1"/>
  <c r="L252" i="1"/>
  <c r="L249" i="1"/>
  <c r="K249" i="1"/>
  <c r="L246" i="1"/>
  <c r="K246" i="1"/>
  <c r="L243" i="1"/>
  <c r="K243" i="1"/>
  <c r="L240" i="1"/>
  <c r="K240" i="1"/>
  <c r="L239" i="1"/>
  <c r="K239" i="1"/>
  <c r="L238" i="1"/>
  <c r="K238" i="1"/>
  <c r="L234" i="1"/>
  <c r="K234" i="1"/>
  <c r="L231" i="1"/>
  <c r="K231" i="1"/>
  <c r="L228" i="1"/>
  <c r="K228" i="1"/>
  <c r="L225" i="1"/>
  <c r="K225" i="1"/>
  <c r="L222" i="1"/>
  <c r="K222" i="1"/>
  <c r="L219" i="1"/>
  <c r="K219" i="1"/>
  <c r="L216" i="1"/>
  <c r="K216" i="1"/>
  <c r="L213" i="1"/>
  <c r="K213" i="1"/>
  <c r="L210" i="1"/>
  <c r="K210" i="1"/>
  <c r="L207" i="1"/>
  <c r="K207" i="1"/>
  <c r="L204" i="1"/>
  <c r="K204" i="1"/>
  <c r="L201" i="1"/>
  <c r="K201" i="1"/>
  <c r="L197" i="1"/>
  <c r="K197" i="1"/>
  <c r="L193" i="1"/>
  <c r="K193" i="1"/>
  <c r="L190" i="1"/>
  <c r="K190" i="1"/>
  <c r="L187" i="1"/>
  <c r="K187" i="1"/>
  <c r="L184" i="1"/>
  <c r="K184" i="1"/>
  <c r="L181" i="1"/>
  <c r="K181" i="1"/>
  <c r="L178" i="1"/>
  <c r="K178" i="1"/>
  <c r="L175" i="1"/>
  <c r="K175" i="1"/>
  <c r="L172" i="1"/>
  <c r="K172" i="1"/>
  <c r="L171" i="1"/>
  <c r="K171" i="1"/>
  <c r="L170" i="1"/>
  <c r="K170" i="1"/>
  <c r="L169" i="1"/>
  <c r="K169" i="1"/>
  <c r="L165" i="1"/>
  <c r="K165" i="1"/>
  <c r="L162" i="1"/>
  <c r="K162" i="1"/>
  <c r="L156" i="1"/>
  <c r="K156" i="1"/>
  <c r="L153" i="1"/>
  <c r="K153" i="1"/>
  <c r="L150" i="1"/>
  <c r="K150" i="1"/>
  <c r="L147" i="1"/>
  <c r="K147" i="1"/>
  <c r="L144" i="1"/>
  <c r="K144" i="1"/>
  <c r="L140" i="1"/>
  <c r="K140" i="1"/>
  <c r="L137" i="1"/>
  <c r="K137" i="1"/>
  <c r="L134" i="1"/>
  <c r="K134" i="1"/>
  <c r="L131" i="1"/>
  <c r="K131" i="1"/>
  <c r="L128" i="1"/>
  <c r="K128" i="1"/>
  <c r="L125" i="1"/>
  <c r="K125" i="1"/>
  <c r="L122" i="1"/>
  <c r="K122" i="1"/>
  <c r="L119" i="1"/>
  <c r="K119" i="1"/>
  <c r="L116" i="1"/>
  <c r="K116" i="1"/>
  <c r="L113" i="1"/>
  <c r="K113" i="1"/>
  <c r="L110" i="1"/>
  <c r="K110" i="1"/>
  <c r="L107" i="1"/>
  <c r="K107" i="1"/>
  <c r="L104" i="1"/>
  <c r="K104" i="1"/>
  <c r="L101" i="1"/>
  <c r="K101" i="1"/>
  <c r="L98" i="1"/>
  <c r="K98" i="1"/>
  <c r="L95" i="1"/>
  <c r="K95" i="1"/>
  <c r="L92" i="1"/>
  <c r="K92" i="1"/>
  <c r="L89" i="1"/>
  <c r="K89" i="1"/>
  <c r="L86" i="1"/>
  <c r="K86" i="1"/>
  <c r="L83" i="1"/>
  <c r="K83" i="1"/>
  <c r="L80" i="1"/>
  <c r="K80" i="1"/>
  <c r="L77" i="1"/>
  <c r="K77" i="1"/>
  <c r="L76" i="1"/>
  <c r="K76" i="1"/>
  <c r="L70" i="1"/>
  <c r="K70" i="1"/>
  <c r="L67" i="1"/>
  <c r="K67" i="1"/>
  <c r="L64" i="1"/>
  <c r="K64" i="1"/>
  <c r="L61" i="1"/>
  <c r="K61" i="1"/>
  <c r="L58" i="1"/>
  <c r="K58" i="1"/>
  <c r="L55" i="1"/>
  <c r="K55" i="1"/>
  <c r="L52" i="1"/>
  <c r="K52" i="1"/>
  <c r="L49" i="1"/>
  <c r="K49" i="1"/>
  <c r="L46" i="1"/>
  <c r="K46" i="1"/>
  <c r="L43" i="1"/>
  <c r="K43" i="1"/>
  <c r="L40" i="1"/>
  <c r="K40" i="1"/>
  <c r="L37" i="1"/>
  <c r="K37" i="1"/>
  <c r="L34" i="1"/>
  <c r="K34" i="1"/>
  <c r="L30" i="1"/>
  <c r="K30" i="1"/>
  <c r="L27" i="1"/>
  <c r="K27" i="1"/>
  <c r="L24" i="1"/>
  <c r="K24" i="1"/>
  <c r="L21" i="1"/>
  <c r="K21" i="1"/>
  <c r="L18" i="1"/>
  <c r="K18" i="1"/>
  <c r="L15" i="1"/>
  <c r="K15" i="1"/>
  <c r="L14" i="1"/>
  <c r="L10" i="1" s="1"/>
  <c r="K14" i="1"/>
  <c r="L13" i="1"/>
  <c r="K13" i="1"/>
  <c r="L12" i="1"/>
  <c r="K12" i="1"/>
  <c r="K10" i="1"/>
  <c r="L261" i="1" l="1"/>
  <c r="L8" i="1"/>
  <c r="K237" i="1"/>
  <c r="L237" i="1"/>
  <c r="K168" i="1"/>
  <c r="L168" i="1"/>
  <c r="K73" i="1"/>
  <c r="L73" i="1"/>
  <c r="K11" i="1"/>
  <c r="L11" i="1"/>
  <c r="K8" i="1"/>
  <c r="K261" i="1"/>
  <c r="K9" i="1"/>
  <c r="L9" i="1"/>
  <c r="J205" i="1"/>
  <c r="J78" i="1"/>
  <c r="J74" i="1" s="1"/>
  <c r="D13" i="1"/>
  <c r="E13" i="1"/>
  <c r="F13" i="1"/>
  <c r="J13" i="1"/>
  <c r="E12" i="1"/>
  <c r="D12" i="1"/>
  <c r="J70" i="1"/>
  <c r="I70" i="1"/>
  <c r="H70" i="1"/>
  <c r="G70" i="1"/>
  <c r="F70" i="1"/>
  <c r="E70" i="1"/>
  <c r="D70" i="1"/>
  <c r="J12" i="1"/>
  <c r="J239" i="1"/>
  <c r="J238" i="1"/>
  <c r="J237" i="1" s="1"/>
  <c r="I265" i="1"/>
  <c r="I205" i="1"/>
  <c r="I176" i="1"/>
  <c r="I93" i="1"/>
  <c r="I82" i="1"/>
  <c r="I78" i="1"/>
  <c r="I20" i="1"/>
  <c r="I16" i="1"/>
  <c r="I117" i="1"/>
  <c r="I111" i="1"/>
  <c r="I62" i="1"/>
  <c r="I41" i="1"/>
  <c r="I96" i="1"/>
  <c r="I91" i="1"/>
  <c r="I88" i="1"/>
  <c r="I87" i="1"/>
  <c r="I44" i="1"/>
  <c r="I26" i="1"/>
  <c r="I25" i="1"/>
  <c r="I80" i="1" l="1"/>
  <c r="L7" i="1"/>
  <c r="K7" i="1"/>
  <c r="E76" i="1"/>
  <c r="F76" i="1"/>
  <c r="G76" i="1"/>
  <c r="H76" i="1"/>
  <c r="I76" i="1"/>
  <c r="J76" i="1"/>
  <c r="D76" i="1"/>
  <c r="E140" i="1"/>
  <c r="F140" i="1"/>
  <c r="G140" i="1"/>
  <c r="H140" i="1"/>
  <c r="I140" i="1"/>
  <c r="J140" i="1"/>
  <c r="D140" i="1"/>
  <c r="E171" i="1"/>
  <c r="F171" i="1"/>
  <c r="G171" i="1"/>
  <c r="H171" i="1"/>
  <c r="I171" i="1"/>
  <c r="J171" i="1"/>
  <c r="D171" i="1"/>
  <c r="E14" i="1"/>
  <c r="F14" i="1"/>
  <c r="G14" i="1"/>
  <c r="H14" i="1"/>
  <c r="I14" i="1"/>
  <c r="J14" i="1"/>
  <c r="D14" i="1"/>
  <c r="D11" i="1" s="1"/>
  <c r="E197" i="1"/>
  <c r="F197" i="1"/>
  <c r="G197" i="1"/>
  <c r="H197" i="1"/>
  <c r="I197" i="1"/>
  <c r="J197" i="1"/>
  <c r="D197" i="1"/>
  <c r="E30" i="1"/>
  <c r="F30" i="1"/>
  <c r="G30" i="1"/>
  <c r="H30" i="1"/>
  <c r="I30" i="1"/>
  <c r="J30" i="1"/>
  <c r="D30" i="1"/>
  <c r="F44" i="1"/>
  <c r="I10" i="1" l="1"/>
  <c r="D10" i="1"/>
  <c r="G10" i="1"/>
  <c r="E10" i="1"/>
  <c r="H10" i="1"/>
  <c r="J10" i="1"/>
  <c r="F10" i="1"/>
  <c r="G238" i="1"/>
  <c r="G245" i="1"/>
  <c r="G239" i="1" s="1"/>
  <c r="G220" i="1"/>
  <c r="G78" i="1"/>
  <c r="G16" i="1"/>
  <c r="G59" i="1"/>
  <c r="I209" i="1"/>
  <c r="I170" i="1" s="1"/>
  <c r="I208" i="1"/>
  <c r="J86" i="1"/>
  <c r="I86" i="1"/>
  <c r="H86" i="1"/>
  <c r="G86" i="1"/>
  <c r="F86" i="1"/>
  <c r="E86" i="1"/>
  <c r="D86" i="1"/>
  <c r="D21" i="1"/>
  <c r="J21" i="1"/>
  <c r="I21" i="1"/>
  <c r="H21" i="1"/>
  <c r="G21" i="1"/>
  <c r="F21" i="1"/>
  <c r="E21" i="1"/>
  <c r="I245" i="1"/>
  <c r="G237" i="1" l="1"/>
  <c r="I169" i="1"/>
  <c r="I168" i="1" s="1"/>
  <c r="I193" i="1"/>
  <c r="J246" i="1" l="1"/>
  <c r="I246" i="1"/>
  <c r="H246" i="1"/>
  <c r="G246" i="1"/>
  <c r="F246" i="1"/>
  <c r="E246" i="1"/>
  <c r="D246" i="1"/>
  <c r="I210" i="1"/>
  <c r="J210" i="1"/>
  <c r="H210" i="1"/>
  <c r="G210" i="1"/>
  <c r="F210" i="1"/>
  <c r="E210" i="1"/>
  <c r="D210" i="1"/>
  <c r="J83" i="1"/>
  <c r="I83" i="1"/>
  <c r="H83" i="1"/>
  <c r="G83" i="1"/>
  <c r="F83" i="1"/>
  <c r="E83" i="1"/>
  <c r="D83" i="1"/>
  <c r="J24" i="1"/>
  <c r="I24" i="1"/>
  <c r="H24" i="1"/>
  <c r="G24" i="1"/>
  <c r="F24" i="1"/>
  <c r="E24" i="1"/>
  <c r="D24" i="1"/>
  <c r="I241" i="1"/>
  <c r="I238" i="1" s="1"/>
  <c r="J165" i="1"/>
  <c r="I165" i="1"/>
  <c r="H165" i="1"/>
  <c r="G165" i="1"/>
  <c r="F165" i="1"/>
  <c r="E165" i="1"/>
  <c r="D165" i="1"/>
  <c r="I155" i="1"/>
  <c r="I154" i="1"/>
  <c r="I73" i="1" l="1"/>
  <c r="H16" i="1"/>
  <c r="F265" i="1"/>
  <c r="F229" i="1"/>
  <c r="F18" i="1"/>
  <c r="H209" i="1"/>
  <c r="H208" i="1"/>
  <c r="H169" i="1" s="1"/>
  <c r="H155" i="1"/>
  <c r="H154" i="1"/>
  <c r="H111" i="1"/>
  <c r="H108" i="1"/>
  <c r="H96" i="1"/>
  <c r="H93" i="1"/>
  <c r="H82" i="1"/>
  <c r="H62" i="1"/>
  <c r="H44" i="1"/>
  <c r="H38" i="1"/>
  <c r="H36" i="1"/>
  <c r="H20" i="1"/>
  <c r="H13" i="1" s="1"/>
  <c r="E101" i="1" l="1"/>
  <c r="F101" i="1"/>
  <c r="G101" i="1"/>
  <c r="H101" i="1"/>
  <c r="I101" i="1"/>
  <c r="J101" i="1"/>
  <c r="D101" i="1"/>
  <c r="D98" i="1"/>
  <c r="H59" i="1" l="1"/>
  <c r="H153" i="1" l="1"/>
  <c r="H15" i="1" l="1"/>
  <c r="H245" i="1"/>
  <c r="H241" i="1"/>
  <c r="H170" i="1"/>
  <c r="H168" i="1" s="1"/>
  <c r="H207" i="1"/>
  <c r="H126" i="1"/>
  <c r="H74" i="1" s="1"/>
  <c r="H50" i="1"/>
  <c r="H12" i="1" s="1"/>
  <c r="J249" i="1"/>
  <c r="I249" i="1"/>
  <c r="H91" i="1"/>
  <c r="H75" i="1" s="1"/>
  <c r="H249" i="1"/>
  <c r="E170" i="1"/>
  <c r="F170" i="1"/>
  <c r="G170" i="1"/>
  <c r="J170" i="1"/>
  <c r="D170" i="1"/>
  <c r="G234" i="1"/>
  <c r="J162" i="1"/>
  <c r="I162" i="1"/>
  <c r="H162" i="1"/>
  <c r="G162" i="1"/>
  <c r="F162" i="1"/>
  <c r="E162" i="1"/>
  <c r="D162" i="1"/>
  <c r="G96" i="1"/>
  <c r="G82" i="1"/>
  <c r="G75" i="1" s="1"/>
  <c r="G68" i="1"/>
  <c r="G67" i="1" s="1"/>
  <c r="G38" i="1"/>
  <c r="G20" i="1"/>
  <c r="G13" i="1" s="1"/>
  <c r="E169" i="1"/>
  <c r="J169" i="1"/>
  <c r="D169" i="1"/>
  <c r="D168" i="1" s="1"/>
  <c r="J207" i="1"/>
  <c r="I207" i="1"/>
  <c r="G207" i="1"/>
  <c r="F207" i="1"/>
  <c r="E207" i="1"/>
  <c r="D207" i="1"/>
  <c r="G117" i="1"/>
  <c r="E73" i="1"/>
  <c r="J104" i="1"/>
  <c r="I104" i="1"/>
  <c r="H104" i="1"/>
  <c r="G104" i="1"/>
  <c r="F104" i="1"/>
  <c r="E104" i="1"/>
  <c r="D104" i="1"/>
  <c r="J67" i="1"/>
  <c r="I67" i="1"/>
  <c r="H67" i="1"/>
  <c r="F67" i="1"/>
  <c r="E67" i="1"/>
  <c r="D67" i="1"/>
  <c r="G44" i="1"/>
  <c r="G256" i="1"/>
  <c r="D234" i="1"/>
  <c r="J234" i="1"/>
  <c r="I234" i="1"/>
  <c r="H234" i="1"/>
  <c r="F234" i="1"/>
  <c r="E234" i="1"/>
  <c r="G12" i="1" l="1"/>
  <c r="E168" i="1"/>
  <c r="J168" i="1"/>
  <c r="H73" i="1"/>
  <c r="H240" i="1"/>
  <c r="H238" i="1"/>
  <c r="J73" i="1"/>
  <c r="G232" i="1"/>
  <c r="G231" i="1" s="1"/>
  <c r="G157" i="1"/>
  <c r="G156" i="1" s="1"/>
  <c r="G108" i="1"/>
  <c r="G74" i="1" s="1"/>
  <c r="J231" i="1"/>
  <c r="I231" i="1"/>
  <c r="H231" i="1"/>
  <c r="F231" i="1"/>
  <c r="E231" i="1"/>
  <c r="D231" i="1"/>
  <c r="J156" i="1"/>
  <c r="I156" i="1"/>
  <c r="H156" i="1"/>
  <c r="F156" i="1"/>
  <c r="E156" i="1"/>
  <c r="D156" i="1"/>
  <c r="D154" i="1" s="1"/>
  <c r="J153" i="1"/>
  <c r="I153" i="1"/>
  <c r="G153" i="1"/>
  <c r="F153" i="1"/>
  <c r="E153" i="1"/>
  <c r="D74" i="1" l="1"/>
  <c r="D73" i="1" s="1"/>
  <c r="G73" i="1"/>
  <c r="D153" i="1"/>
  <c r="G169" i="1"/>
  <c r="G168" i="1" s="1"/>
  <c r="F62" i="1"/>
  <c r="F59" i="1"/>
  <c r="F41" i="1"/>
  <c r="F151" i="1" l="1"/>
  <c r="F150" i="1" s="1"/>
  <c r="F228" i="1"/>
  <c r="F204" i="1"/>
  <c r="F190" i="1"/>
  <c r="F117" i="1"/>
  <c r="F95" i="1"/>
  <c r="F64" i="1"/>
  <c r="F43" i="1"/>
  <c r="F40" i="1"/>
  <c r="F37" i="1"/>
  <c r="F249" i="1"/>
  <c r="F240" i="1"/>
  <c r="D228" i="1"/>
  <c r="J228" i="1"/>
  <c r="I228" i="1"/>
  <c r="H228" i="1"/>
  <c r="G228" i="1"/>
  <c r="E228" i="1"/>
  <c r="F131" i="1"/>
  <c r="F92" i="1"/>
  <c r="F58" i="1"/>
  <c r="F53" i="1"/>
  <c r="F52" i="1" s="1"/>
  <c r="F243" i="1"/>
  <c r="J150" i="1"/>
  <c r="I150" i="1"/>
  <c r="H150" i="1"/>
  <c r="G150" i="1"/>
  <c r="E150" i="1"/>
  <c r="D150" i="1"/>
  <c r="J64" i="1"/>
  <c r="I64" i="1"/>
  <c r="H64" i="1"/>
  <c r="G64" i="1"/>
  <c r="E64" i="1"/>
  <c r="D64" i="1"/>
  <c r="F264" i="1"/>
  <c r="F217" i="1"/>
  <c r="J190" i="1"/>
  <c r="I190" i="1"/>
  <c r="H190" i="1"/>
  <c r="G190" i="1"/>
  <c r="E190" i="1"/>
  <c r="D190" i="1"/>
  <c r="F110" i="1"/>
  <c r="F61" i="1"/>
  <c r="E263" i="1"/>
  <c r="F263" i="1"/>
  <c r="G263" i="1"/>
  <c r="H263" i="1"/>
  <c r="I263" i="1"/>
  <c r="J263" i="1"/>
  <c r="D263" i="1"/>
  <c r="E262" i="1"/>
  <c r="G262" i="1"/>
  <c r="H262" i="1"/>
  <c r="I262" i="1"/>
  <c r="J262" i="1"/>
  <c r="D262" i="1"/>
  <c r="J267" i="1"/>
  <c r="I267" i="1"/>
  <c r="H267" i="1"/>
  <c r="G267" i="1"/>
  <c r="F267" i="1"/>
  <c r="E267" i="1"/>
  <c r="D267" i="1"/>
  <c r="J264" i="1"/>
  <c r="I264" i="1"/>
  <c r="H264" i="1"/>
  <c r="G264" i="1"/>
  <c r="E264" i="1"/>
  <c r="D264" i="1"/>
  <c r="E253" i="1"/>
  <c r="F253" i="1"/>
  <c r="G253" i="1"/>
  <c r="H253" i="1"/>
  <c r="I253" i="1"/>
  <c r="I8" i="1" s="1"/>
  <c r="J253" i="1"/>
  <c r="E254" i="1"/>
  <c r="F254" i="1"/>
  <c r="G254" i="1"/>
  <c r="H254" i="1"/>
  <c r="I254" i="1"/>
  <c r="J254" i="1"/>
  <c r="D254" i="1"/>
  <c r="D253" i="1"/>
  <c r="J258" i="1"/>
  <c r="I258" i="1"/>
  <c r="H258" i="1"/>
  <c r="G258" i="1"/>
  <c r="F258" i="1"/>
  <c r="E258" i="1"/>
  <c r="D258" i="1"/>
  <c r="J255" i="1"/>
  <c r="I255" i="1"/>
  <c r="H255" i="1"/>
  <c r="G255" i="1"/>
  <c r="F255" i="1"/>
  <c r="E255" i="1"/>
  <c r="D255" i="1"/>
  <c r="E239" i="1"/>
  <c r="F239" i="1"/>
  <c r="H239" i="1"/>
  <c r="H237" i="1" s="1"/>
  <c r="I239" i="1"/>
  <c r="D239" i="1"/>
  <c r="E238" i="1"/>
  <c r="D238" i="1"/>
  <c r="G249" i="1"/>
  <c r="E249" i="1"/>
  <c r="D249" i="1"/>
  <c r="J243" i="1"/>
  <c r="I243" i="1"/>
  <c r="H243" i="1"/>
  <c r="G243" i="1"/>
  <c r="E243" i="1"/>
  <c r="D243" i="1"/>
  <c r="J240" i="1"/>
  <c r="I240" i="1"/>
  <c r="G240" i="1"/>
  <c r="E240" i="1"/>
  <c r="D240" i="1"/>
  <c r="J225" i="1"/>
  <c r="I225" i="1"/>
  <c r="H225" i="1"/>
  <c r="G225" i="1"/>
  <c r="F225" i="1"/>
  <c r="E225" i="1"/>
  <c r="D225" i="1"/>
  <c r="J222" i="1"/>
  <c r="I222" i="1"/>
  <c r="H222" i="1"/>
  <c r="G222" i="1"/>
  <c r="F222" i="1"/>
  <c r="E222" i="1"/>
  <c r="D222" i="1"/>
  <c r="J219" i="1"/>
  <c r="I219" i="1"/>
  <c r="H219" i="1"/>
  <c r="G219" i="1"/>
  <c r="F219" i="1"/>
  <c r="E219" i="1"/>
  <c r="D219" i="1"/>
  <c r="J216" i="1"/>
  <c r="I216" i="1"/>
  <c r="H216" i="1"/>
  <c r="G216" i="1"/>
  <c r="E216" i="1"/>
  <c r="D216" i="1"/>
  <c r="J213" i="1"/>
  <c r="I213" i="1"/>
  <c r="H213" i="1"/>
  <c r="G213" i="1"/>
  <c r="F213" i="1"/>
  <c r="E213" i="1"/>
  <c r="D213" i="1"/>
  <c r="J204" i="1"/>
  <c r="I204" i="1"/>
  <c r="H204" i="1"/>
  <c r="G204" i="1"/>
  <c r="E204" i="1"/>
  <c r="D204" i="1"/>
  <c r="J201" i="1"/>
  <c r="I201" i="1"/>
  <c r="H201" i="1"/>
  <c r="G201" i="1"/>
  <c r="F201" i="1"/>
  <c r="E201" i="1"/>
  <c r="D201" i="1"/>
  <c r="H193" i="1"/>
  <c r="G193" i="1"/>
  <c r="F193" i="1"/>
  <c r="E193" i="1"/>
  <c r="D193" i="1"/>
  <c r="J187" i="1"/>
  <c r="I187" i="1"/>
  <c r="H187" i="1"/>
  <c r="G187" i="1"/>
  <c r="F187" i="1"/>
  <c r="E187" i="1"/>
  <c r="D187" i="1"/>
  <c r="J184" i="1"/>
  <c r="I184" i="1"/>
  <c r="H184" i="1"/>
  <c r="G184" i="1"/>
  <c r="F184" i="1"/>
  <c r="E184" i="1"/>
  <c r="D184" i="1"/>
  <c r="J181" i="1"/>
  <c r="I181" i="1"/>
  <c r="H181" i="1"/>
  <c r="G181" i="1"/>
  <c r="F181" i="1"/>
  <c r="E181" i="1"/>
  <c r="D181" i="1"/>
  <c r="J178" i="1"/>
  <c r="I178" i="1"/>
  <c r="H178" i="1"/>
  <c r="G178" i="1"/>
  <c r="F178" i="1"/>
  <c r="E178" i="1"/>
  <c r="D178" i="1"/>
  <c r="D175" i="1"/>
  <c r="J175" i="1"/>
  <c r="I175" i="1"/>
  <c r="H175" i="1"/>
  <c r="G175" i="1"/>
  <c r="F175" i="1"/>
  <c r="E175" i="1"/>
  <c r="E172" i="1"/>
  <c r="F172" i="1"/>
  <c r="G172" i="1"/>
  <c r="H172" i="1"/>
  <c r="I172" i="1"/>
  <c r="J172" i="1"/>
  <c r="D172" i="1"/>
  <c r="E147" i="1"/>
  <c r="F147" i="1"/>
  <c r="G147" i="1"/>
  <c r="H147" i="1"/>
  <c r="I147" i="1"/>
  <c r="J147" i="1"/>
  <c r="D147" i="1"/>
  <c r="E144" i="1"/>
  <c r="F144" i="1"/>
  <c r="G144" i="1"/>
  <c r="H144" i="1"/>
  <c r="I144" i="1"/>
  <c r="J144" i="1"/>
  <c r="D144" i="1"/>
  <c r="E137" i="1"/>
  <c r="F137" i="1"/>
  <c r="G137" i="1"/>
  <c r="H137" i="1"/>
  <c r="I137" i="1"/>
  <c r="J137" i="1"/>
  <c r="D137" i="1"/>
  <c r="E134" i="1"/>
  <c r="F134" i="1"/>
  <c r="G134" i="1"/>
  <c r="H134" i="1"/>
  <c r="I134" i="1"/>
  <c r="J134" i="1"/>
  <c r="D134" i="1"/>
  <c r="E131" i="1"/>
  <c r="G131" i="1"/>
  <c r="H131" i="1"/>
  <c r="I131" i="1"/>
  <c r="J131" i="1"/>
  <c r="D131" i="1"/>
  <c r="E128" i="1"/>
  <c r="F128" i="1"/>
  <c r="G128" i="1"/>
  <c r="H128" i="1"/>
  <c r="I128" i="1"/>
  <c r="J128" i="1"/>
  <c r="D128" i="1"/>
  <c r="E125" i="1"/>
  <c r="F125" i="1"/>
  <c r="G125" i="1"/>
  <c r="H125" i="1"/>
  <c r="I125" i="1"/>
  <c r="J125" i="1"/>
  <c r="D125" i="1"/>
  <c r="E122" i="1"/>
  <c r="F122" i="1"/>
  <c r="G122" i="1"/>
  <c r="H122" i="1"/>
  <c r="I122" i="1"/>
  <c r="J122" i="1"/>
  <c r="D122" i="1"/>
  <c r="E119" i="1"/>
  <c r="F119" i="1"/>
  <c r="G119" i="1"/>
  <c r="H119" i="1"/>
  <c r="I119" i="1"/>
  <c r="J119" i="1"/>
  <c r="D119" i="1"/>
  <c r="E116" i="1"/>
  <c r="G116" i="1"/>
  <c r="H116" i="1"/>
  <c r="I116" i="1"/>
  <c r="J116" i="1"/>
  <c r="D116" i="1"/>
  <c r="E113" i="1"/>
  <c r="F113" i="1"/>
  <c r="G113" i="1"/>
  <c r="H113" i="1"/>
  <c r="I113" i="1"/>
  <c r="J113" i="1"/>
  <c r="D113" i="1"/>
  <c r="E110" i="1"/>
  <c r="G110" i="1"/>
  <c r="H110" i="1"/>
  <c r="I110" i="1"/>
  <c r="J110" i="1"/>
  <c r="D110" i="1"/>
  <c r="E107" i="1"/>
  <c r="G107" i="1"/>
  <c r="H107" i="1"/>
  <c r="I107" i="1"/>
  <c r="J107" i="1"/>
  <c r="D107" i="1"/>
  <c r="E98" i="1"/>
  <c r="F98" i="1"/>
  <c r="G98" i="1"/>
  <c r="H98" i="1"/>
  <c r="I98" i="1"/>
  <c r="J98" i="1"/>
  <c r="E95" i="1"/>
  <c r="G95" i="1"/>
  <c r="H95" i="1"/>
  <c r="I95" i="1"/>
  <c r="J95" i="1"/>
  <c r="D95" i="1"/>
  <c r="E92" i="1"/>
  <c r="G92" i="1"/>
  <c r="H92" i="1"/>
  <c r="I92" i="1"/>
  <c r="J92" i="1"/>
  <c r="D92" i="1"/>
  <c r="E89" i="1"/>
  <c r="F89" i="1"/>
  <c r="G89" i="1"/>
  <c r="H89" i="1"/>
  <c r="I89" i="1"/>
  <c r="J89" i="1"/>
  <c r="D89" i="1"/>
  <c r="E80" i="1"/>
  <c r="G80" i="1"/>
  <c r="H80" i="1"/>
  <c r="J80" i="1"/>
  <c r="D80" i="1"/>
  <c r="E77" i="1"/>
  <c r="G77" i="1"/>
  <c r="H77" i="1"/>
  <c r="I77" i="1"/>
  <c r="J77" i="1"/>
  <c r="D77" i="1"/>
  <c r="E11" i="1"/>
  <c r="G11" i="1"/>
  <c r="H11" i="1"/>
  <c r="J11" i="1"/>
  <c r="E61" i="1"/>
  <c r="G61" i="1"/>
  <c r="H61" i="1"/>
  <c r="I61" i="1"/>
  <c r="J61" i="1"/>
  <c r="D61" i="1"/>
  <c r="E58" i="1"/>
  <c r="G58" i="1"/>
  <c r="H58" i="1"/>
  <c r="I58" i="1"/>
  <c r="J58" i="1"/>
  <c r="D58" i="1"/>
  <c r="E55" i="1"/>
  <c r="F55" i="1"/>
  <c r="G55" i="1"/>
  <c r="H55" i="1"/>
  <c r="I55" i="1"/>
  <c r="J55" i="1"/>
  <c r="D55" i="1"/>
  <c r="E52" i="1"/>
  <c r="G52" i="1"/>
  <c r="H52" i="1"/>
  <c r="I52" i="1"/>
  <c r="J52" i="1"/>
  <c r="D52" i="1"/>
  <c r="E49" i="1"/>
  <c r="F49" i="1"/>
  <c r="G49" i="1"/>
  <c r="H49" i="1"/>
  <c r="I49" i="1"/>
  <c r="J49" i="1"/>
  <c r="D49" i="1"/>
  <c r="E46" i="1"/>
  <c r="F46" i="1"/>
  <c r="G46" i="1"/>
  <c r="H46" i="1"/>
  <c r="I46" i="1"/>
  <c r="J46" i="1"/>
  <c r="D46" i="1"/>
  <c r="E43" i="1"/>
  <c r="G43" i="1"/>
  <c r="H43" i="1"/>
  <c r="I43" i="1"/>
  <c r="J43" i="1"/>
  <c r="D43" i="1"/>
  <c r="E40" i="1"/>
  <c r="G40" i="1"/>
  <c r="H40" i="1"/>
  <c r="I40" i="1"/>
  <c r="J40" i="1"/>
  <c r="D40" i="1"/>
  <c r="E37" i="1"/>
  <c r="G37" i="1"/>
  <c r="H37" i="1"/>
  <c r="I37" i="1"/>
  <c r="J37" i="1"/>
  <c r="D37" i="1"/>
  <c r="E34" i="1"/>
  <c r="F34" i="1"/>
  <c r="G34" i="1"/>
  <c r="H34" i="1"/>
  <c r="I34" i="1"/>
  <c r="J34" i="1"/>
  <c r="D34" i="1"/>
  <c r="E27" i="1"/>
  <c r="F27" i="1"/>
  <c r="G27" i="1"/>
  <c r="H27" i="1"/>
  <c r="I27" i="1"/>
  <c r="J27" i="1"/>
  <c r="D27" i="1"/>
  <c r="F74" i="1" l="1"/>
  <c r="F73" i="1" s="1"/>
  <c r="F12" i="1"/>
  <c r="F11" i="1" s="1"/>
  <c r="D8" i="1"/>
  <c r="I237" i="1"/>
  <c r="I9" i="1"/>
  <c r="F169" i="1"/>
  <c r="F168" i="1" s="1"/>
  <c r="F216" i="1"/>
  <c r="F116" i="1"/>
  <c r="F238" i="1"/>
  <c r="F237" i="1" s="1"/>
  <c r="F107" i="1"/>
  <c r="F77" i="1"/>
  <c r="F80" i="1"/>
  <c r="J261" i="1"/>
  <c r="F262" i="1"/>
  <c r="F261" i="1" s="1"/>
  <c r="F9" i="1"/>
  <c r="I252" i="1"/>
  <c r="E252" i="1"/>
  <c r="G8" i="1"/>
  <c r="F252" i="1"/>
  <c r="I261" i="1"/>
  <c r="E261" i="1"/>
  <c r="J9" i="1"/>
  <c r="H8" i="1"/>
  <c r="G9" i="1"/>
  <c r="D261" i="1"/>
  <c r="E8" i="1"/>
  <c r="H9" i="1"/>
  <c r="J8" i="1"/>
  <c r="E9" i="1"/>
  <c r="G252" i="1"/>
  <c r="D9" i="1"/>
  <c r="D237" i="1"/>
  <c r="D252" i="1"/>
  <c r="J252" i="1"/>
  <c r="J7" i="1" s="1"/>
  <c r="G261" i="1"/>
  <c r="H261" i="1"/>
  <c r="H252" i="1"/>
  <c r="E237" i="1"/>
  <c r="E18" i="1"/>
  <c r="G18" i="1"/>
  <c r="H18" i="1"/>
  <c r="I18" i="1"/>
  <c r="J18" i="1"/>
  <c r="D18" i="1"/>
  <c r="E15" i="1"/>
  <c r="F15" i="1"/>
  <c r="G15" i="1"/>
  <c r="I15" i="1"/>
  <c r="J15" i="1"/>
  <c r="D15" i="1"/>
  <c r="D7" i="1" l="1"/>
  <c r="I7" i="1"/>
  <c r="F7" i="1"/>
  <c r="F8" i="1"/>
  <c r="G7" i="1"/>
  <c r="E7" i="1"/>
  <c r="H7" i="1"/>
</calcChain>
</file>

<file path=xl/sharedStrings.xml><?xml version="1.0" encoding="utf-8"?>
<sst xmlns="http://schemas.openxmlformats.org/spreadsheetml/2006/main" count="416" uniqueCount="150">
  <si>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</si>
  <si>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</si>
  <si>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</si>
  <si>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</si>
  <si>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</si>
  <si>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</si>
  <si>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</si>
  <si>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</si>
  <si>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</si>
  <si>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</si>
  <si>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</si>
  <si>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</si>
  <si>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</si>
  <si>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</si>
  <si>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</si>
  <si>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</si>
  <si>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</si>
  <si>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</si>
  <si>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</si>
  <si>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</si>
  <si>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</si>
  <si>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</si>
  <si>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</si>
  <si>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</si>
  <si>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</si>
  <si>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</si>
  <si>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</si>
  <si>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</si>
  <si>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</si>
  <si>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</si>
  <si>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</si>
  <si>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</si>
  <si>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</si>
  <si>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</si>
  <si>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</si>
  <si>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</si>
  <si>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</si>
  <si>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</si>
  <si>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</si>
  <si>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</si>
  <si>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</si>
  <si>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</si>
  <si>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</si>
  <si>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</si>
  <si>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</si>
  <si>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</si>
  <si>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</si>
  <si>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</si>
  <si>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</si>
  <si>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</si>
  <si>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</si>
  <si>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</si>
  <si>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</si>
  <si>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</si>
  <si>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</si>
  <si>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</si>
  <si>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</si>
  <si>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</si>
  <si>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</si>
  <si>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</si>
  <si>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</si>
  <si>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</si>
  <si>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</si>
  <si>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</si>
  <si>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</si>
  <si>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</si>
  <si>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</si>
  <si>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</si>
  <si>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</si>
  <si>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</si>
  <si>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</si>
  <si>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</si>
  <si>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</si>
  <si>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</si>
  <si>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</si>
  <si>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</si>
  <si>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</si>
  <si>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</si>
  <si>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</si>
  <si>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</si>
  <si>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</si>
  <si>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</si>
  <si>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</si>
  <si>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</si>
  <si>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</si>
  <si>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</si>
  <si>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</si>
  <si>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</si>
  <si>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</si>
  <si>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</si>
  <si>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</si>
  <si>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</si>
  <si>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</si>
  <si>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</si>
  <si>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</si>
  <si>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</si>
  <si>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</si>
  <si>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</si>
  <si>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</si>
  <si>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</si>
  <si>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</si>
  <si>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</si>
  <si>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</si>
  <si>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</si>
  <si>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</si>
  <si>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</si>
  <si>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</si>
  <si>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1.14.</t>
  </si>
  <si>
    <t>2.17.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</si>
  <si>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</si>
  <si>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</si>
  <si>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</si>
  <si>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</si>
  <si>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2.18.</t>
  </si>
  <si>
    <t>2.19.</t>
  </si>
  <si>
    <t>3.21.</t>
  </si>
  <si>
    <t>3.22.</t>
  </si>
  <si>
    <t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«Развитие образования в Княжпогостском районе»</t>
  </si>
  <si>
    <t>1.1.2.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</si>
  <si>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3.23.</t>
  </si>
  <si>
    <t>Субсидии на реализацию народных проектов в сфере образования, прошедших отбор в рамках проекта "Народный бюджет"</t>
  </si>
  <si>
    <t>1.15.</t>
  </si>
  <si>
    <t>Исполнение судебных решений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</si>
  <si>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</si>
  <si>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2.20.</t>
  </si>
  <si>
    <t>Иная субсидия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</si>
  <si>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Субсидия на иные цели (Укрепление МТБ и создание безопасных условий в муниципальных образовательных организациях)</t>
  </si>
  <si>
    <t>2.21.</t>
  </si>
  <si>
    <t>Субсидии на открытие дополнительных классов</t>
  </si>
  <si>
    <t>1.1.3. Мероприятия по организации деятельности по сбору и транспортированию твёрдых коммунальных отходов</t>
  </si>
  <si>
    <t>2.1.3. Мероприятия по организации деятельности по сбору и транспортированию твёрдых коммунальных отходов</t>
  </si>
  <si>
    <t>Мероприятия по организации деятельности по сбору и транспортированию твёрдых коммунальных отходов</t>
  </si>
  <si>
    <t xml:space="preserve">4.1.3. Обеспечение деятельности лагерей с дневным пребыванием детей </t>
  </si>
  <si>
    <t>федеральный бюджет</t>
  </si>
  <si>
    <t xml:space="preserve"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</t>
  </si>
  <si>
    <t>1.1.4. Обеспечение повышения оплаты труда отдельных категорий работников в сфере образования</t>
  </si>
  <si>
    <t>2.1.4.Обеспечение повышения оплаты труда отдельных категорий работников в сфере образования</t>
  </si>
  <si>
    <t>3.11.1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</si>
  <si>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</si>
  <si>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4.1.1. Мероприятия по проведению оздоровительной кампании детей</t>
  </si>
  <si>
    <t>4.1.2. Мероприятия по проведению оздоровительной кампании детей</t>
  </si>
  <si>
    <t xml:space="preserve">Развитие инновационного опыта работы педагогов и образовательных учреждений </t>
  </si>
  <si>
    <t xml:space="preserve">Проведение районных мероприятий </t>
  </si>
  <si>
    <t>Выявление и поддержка одаренных детей и молодежи</t>
  </si>
  <si>
    <t>Выполнение противопожарных мероприятий в организациях дополнительного образования</t>
  </si>
  <si>
    <t>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образования в Княжпогостском районе"</t>
  </si>
  <si>
    <t>Реализация народных проектов в сфере образования, прошедших отбор в рамках проекта "Народный бюджет"</t>
  </si>
  <si>
    <t xml:space="preserve">Обеспечение роста уровня  оплаты труда педагогических работников муниципальных организаций дополнительного образования </t>
  </si>
  <si>
    <t>1.16.</t>
  </si>
  <si>
    <t>Укрепление материально-технической базы организаций в сфере образования в Республике Коми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</si>
</sst>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2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165" fontId="5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9"/>
  <sheetViews>
    <sheetView tabSelected="1" zoomScaleNormal="100" workbookViewId="0">
      <selection activeCell="I7" sqref="I7"/>
    </sheetView>
  </sheetViews>
  <sheetFormatPr defaultColWidth="8.88671875" defaultRowHeight="13.8" x14ac:dyDescent="0.25"/>
  <cols>
    <col min="1" max="1" width="17" style="3" customWidth="1"/>
    <col min="2" max="2" width="32.6640625" style="3" customWidth="1"/>
    <col min="3" max="3" width="28.6640625" style="3" customWidth="1"/>
    <col min="4" max="4" width="13.33203125" style="3" customWidth="1"/>
    <col min="5" max="5" width="12.44140625" style="3" customWidth="1"/>
    <col min="6" max="7" width="12.44140625" style="21" customWidth="1"/>
    <col min="8" max="8" width="13.5546875" style="21" customWidth="1"/>
    <col min="9" max="9" width="12.6640625" style="79" customWidth="1"/>
    <col min="10" max="12" width="13" style="3" customWidth="1"/>
    <col min="13" max="16384" width="8.88671875" style="3"/>
  </cols>
  <sheetData>
    <row r="1" spans="1:12" ht="31.5" customHeight="1" x14ac:dyDescent="0.25">
      <c r="D1" s="29"/>
      <c r="E1" s="29"/>
      <c r="F1" s="37" t="s">
        <v>145</v>
      </c>
      <c r="G1" s="37"/>
      <c r="H1" s="37"/>
      <c r="I1" s="37"/>
      <c r="J1" s="37"/>
      <c r="K1" s="37"/>
      <c r="L1" s="37"/>
    </row>
    <row r="2" spans="1:12" x14ac:dyDescent="0.25">
      <c r="D2" s="32"/>
      <c r="E2" s="32"/>
      <c r="F2" s="32"/>
      <c r="G2" s="32"/>
      <c r="H2" s="32"/>
      <c r="I2" s="76"/>
      <c r="J2" s="32"/>
      <c r="K2" s="32"/>
      <c r="L2" s="32"/>
    </row>
    <row r="3" spans="1:12" ht="29.4" customHeight="1" x14ac:dyDescent="0.3">
      <c r="A3" s="38" t="s">
        <v>117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7.25" customHeight="1" x14ac:dyDescent="0.25">
      <c r="A4" s="10"/>
      <c r="B4" s="10"/>
      <c r="C4" s="10"/>
      <c r="D4" s="10"/>
      <c r="E4" s="10"/>
      <c r="F4" s="23"/>
      <c r="G4" s="24"/>
      <c r="H4" s="24"/>
      <c r="I4" s="77"/>
      <c r="J4" s="25"/>
      <c r="K4" s="25"/>
      <c r="L4" s="25"/>
    </row>
    <row r="5" spans="1:12" s="4" customFormat="1" ht="13.95" customHeight="1" x14ac:dyDescent="0.3">
      <c r="A5" s="68" t="s">
        <v>0</v>
      </c>
      <c r="B5" s="68" t="s">
        <v>1</v>
      </c>
      <c r="C5" s="68" t="s">
        <v>59</v>
      </c>
      <c r="D5" s="39"/>
      <c r="E5" s="40"/>
      <c r="F5" s="40"/>
      <c r="G5" s="40"/>
      <c r="H5" s="40"/>
      <c r="I5" s="40"/>
      <c r="J5" s="40"/>
      <c r="K5" s="40"/>
      <c r="L5" s="40"/>
    </row>
    <row r="6" spans="1:12" s="4" customFormat="1" ht="15" customHeight="1" x14ac:dyDescent="0.3">
      <c r="A6" s="69"/>
      <c r="B6" s="69"/>
      <c r="C6" s="69"/>
      <c r="D6" s="5">
        <v>2014</v>
      </c>
      <c r="E6" s="5">
        <v>2015</v>
      </c>
      <c r="F6" s="16">
        <v>2016</v>
      </c>
      <c r="G6" s="16">
        <v>2017</v>
      </c>
      <c r="H6" s="16">
        <v>2018</v>
      </c>
      <c r="I6" s="16">
        <v>2019</v>
      </c>
      <c r="J6" s="5">
        <v>2020</v>
      </c>
      <c r="K6" s="5">
        <v>2021</v>
      </c>
      <c r="L6" s="5">
        <v>2022</v>
      </c>
    </row>
    <row r="7" spans="1:12" s="7" customFormat="1" ht="13.95" customHeight="1" x14ac:dyDescent="0.25">
      <c r="A7" s="73" t="s">
        <v>2</v>
      </c>
      <c r="B7" s="73" t="s">
        <v>3</v>
      </c>
      <c r="C7" s="6" t="s">
        <v>60</v>
      </c>
      <c r="D7" s="12">
        <f t="shared" ref="D7:I9" si="0">D11+D73+D168+D237+D252+D261</f>
        <v>386844.54</v>
      </c>
      <c r="E7" s="12">
        <f t="shared" si="0"/>
        <v>390549.05300000001</v>
      </c>
      <c r="F7" s="17">
        <f t="shared" si="0"/>
        <v>367367.46399999998</v>
      </c>
      <c r="G7" s="17">
        <f t="shared" si="0"/>
        <v>391577.37400000001</v>
      </c>
      <c r="H7" s="17">
        <f t="shared" si="0"/>
        <v>421945.16700000002</v>
      </c>
      <c r="I7" s="17">
        <f t="shared" si="0"/>
        <v>416725.0940000001</v>
      </c>
      <c r="J7" s="12">
        <f>J11+J73+J168+J237+J252+J261-0.001</f>
        <v>435298.56699999992</v>
      </c>
      <c r="K7" s="12">
        <f t="shared" ref="K7:L7" si="1">K11+K73+K168+K237+K252+K261</f>
        <v>423749.35499999998</v>
      </c>
      <c r="L7" s="12">
        <f t="shared" si="1"/>
        <v>400302.69299999991</v>
      </c>
    </row>
    <row r="8" spans="1:12" s="7" customFormat="1" x14ac:dyDescent="0.25">
      <c r="A8" s="74"/>
      <c r="B8" s="74"/>
      <c r="C8" s="26" t="s">
        <v>61</v>
      </c>
      <c r="D8" s="13">
        <f t="shared" si="0"/>
        <v>139442.29999999999</v>
      </c>
      <c r="E8" s="13">
        <f t="shared" si="0"/>
        <v>141030.228</v>
      </c>
      <c r="F8" s="18">
        <f t="shared" si="0"/>
        <v>139574.565</v>
      </c>
      <c r="G8" s="18">
        <f t="shared" si="0"/>
        <v>163982.038</v>
      </c>
      <c r="H8" s="18">
        <f t="shared" si="0"/>
        <v>144780.77800000002</v>
      </c>
      <c r="I8" s="18">
        <f t="shared" si="0"/>
        <v>132509.37900000002</v>
      </c>
      <c r="J8" s="13">
        <f>J12+J74+J169+J238+J253+J262</f>
        <v>151006.12499999997</v>
      </c>
      <c r="K8" s="13">
        <f t="shared" ref="K8:L8" si="2">K12+K74+K169+K238+K253+K262</f>
        <v>137458.05499999999</v>
      </c>
      <c r="L8" s="13">
        <f t="shared" si="2"/>
        <v>101156.79300000001</v>
      </c>
    </row>
    <row r="9" spans="1:12" s="7" customFormat="1" x14ac:dyDescent="0.25">
      <c r="A9" s="74"/>
      <c r="B9" s="74"/>
      <c r="C9" s="26" t="s">
        <v>62</v>
      </c>
      <c r="D9" s="13">
        <f t="shared" si="0"/>
        <v>247059.03999999998</v>
      </c>
      <c r="E9" s="13">
        <f t="shared" si="0"/>
        <v>248301.125</v>
      </c>
      <c r="F9" s="18">
        <f t="shared" si="0"/>
        <v>227184.31399999995</v>
      </c>
      <c r="G9" s="18">
        <f t="shared" si="0"/>
        <v>227396.342</v>
      </c>
      <c r="H9" s="18">
        <f t="shared" si="0"/>
        <v>276854.19100000005</v>
      </c>
      <c r="I9" s="18">
        <f t="shared" si="0"/>
        <v>284019.15600000002</v>
      </c>
      <c r="J9" s="13">
        <f>J13+J75+J170+J239+J254+J263</f>
        <v>283952.46100000001</v>
      </c>
      <c r="K9" s="13">
        <f t="shared" ref="K9:L9" si="3">K13+K75+K170+K239+K254+K263</f>
        <v>286291.30000000005</v>
      </c>
      <c r="L9" s="13">
        <f t="shared" si="3"/>
        <v>299145.89999999997</v>
      </c>
    </row>
    <row r="10" spans="1:12" s="7" customFormat="1" x14ac:dyDescent="0.25">
      <c r="A10" s="75"/>
      <c r="B10" s="75"/>
      <c r="C10" s="26" t="s">
        <v>133</v>
      </c>
      <c r="D10" s="13">
        <f t="shared" ref="D10:J10" si="4">D14+D76+D171</f>
        <v>343.2</v>
      </c>
      <c r="E10" s="13">
        <f t="shared" si="4"/>
        <v>1217.7</v>
      </c>
      <c r="F10" s="13">
        <f t="shared" si="4"/>
        <v>608.58500000000004</v>
      </c>
      <c r="G10" s="13">
        <f t="shared" si="4"/>
        <v>198.994</v>
      </c>
      <c r="H10" s="13">
        <f t="shared" si="4"/>
        <v>310.19799999999998</v>
      </c>
      <c r="I10" s="18">
        <f t="shared" si="4"/>
        <v>196.559</v>
      </c>
      <c r="J10" s="13">
        <f t="shared" si="4"/>
        <v>339.98200000000003</v>
      </c>
      <c r="K10" s="13">
        <f t="shared" ref="K10:L10" si="5">K14+K76+K171</f>
        <v>0</v>
      </c>
      <c r="L10" s="13">
        <f t="shared" si="5"/>
        <v>0</v>
      </c>
    </row>
    <row r="11" spans="1:12" s="8" customFormat="1" ht="13.95" customHeight="1" x14ac:dyDescent="0.25">
      <c r="A11" s="41" t="s">
        <v>4</v>
      </c>
      <c r="B11" s="41" t="s">
        <v>5</v>
      </c>
      <c r="C11" s="28" t="s">
        <v>60</v>
      </c>
      <c r="D11" s="15">
        <f>SUM(D12:D14)</f>
        <v>140952.07</v>
      </c>
      <c r="E11" s="15">
        <f t="shared" ref="E11:J11" si="6">SUM(E12:E14)</f>
        <v>119768.17000000001</v>
      </c>
      <c r="F11" s="15">
        <f t="shared" si="6"/>
        <v>126152.49799999999</v>
      </c>
      <c r="G11" s="15">
        <f t="shared" si="6"/>
        <v>134580.51299999998</v>
      </c>
      <c r="H11" s="15">
        <f t="shared" si="6"/>
        <v>151477.12099999998</v>
      </c>
      <c r="I11" s="15">
        <f>SUM(I12:I14)</f>
        <v>147012.424</v>
      </c>
      <c r="J11" s="15">
        <f t="shared" si="6"/>
        <v>153366.462</v>
      </c>
      <c r="K11" s="15">
        <f t="shared" ref="K11:L11" si="7">SUM(K12:K14)</f>
        <v>152150.38800000001</v>
      </c>
      <c r="L11" s="15">
        <f t="shared" si="7"/>
        <v>132331.788</v>
      </c>
    </row>
    <row r="12" spans="1:12" s="8" customFormat="1" x14ac:dyDescent="0.25">
      <c r="A12" s="42"/>
      <c r="B12" s="42"/>
      <c r="C12" s="28" t="s">
        <v>61</v>
      </c>
      <c r="D12" s="15">
        <f>D16+D19+D28+D31+D35+D38+D41+D44+D47+D50+D53+D56+D59+D62+D65+D68+D71</f>
        <v>45341.484999999993</v>
      </c>
      <c r="E12" s="15">
        <f t="shared" ref="E12:J12" si="8">E16+E19+E28+E31+E35+E38+E41+E44+E47+E50+E53+E56+E59+E62+E65+E68+E71</f>
        <v>41213.297000000006</v>
      </c>
      <c r="F12" s="15">
        <f t="shared" si="8"/>
        <v>49559.27</v>
      </c>
      <c r="G12" s="15">
        <f t="shared" si="8"/>
        <v>57022.762999999992</v>
      </c>
      <c r="H12" s="15">
        <f t="shared" si="8"/>
        <v>53303.620999999999</v>
      </c>
      <c r="I12" s="15">
        <f>I16+I19+I22+I25+I28+I31+I35+I38+I41+I44+I47+I50+I53+I56+I59+I62+I65+I68+I71</f>
        <v>53733.539000000004</v>
      </c>
      <c r="J12" s="15">
        <f t="shared" si="8"/>
        <v>54829.292000000001</v>
      </c>
      <c r="K12" s="15">
        <f t="shared" ref="K12:L12" si="9">K16+K19+K28+K31+K35+K38+K41+K44+K47+K50+K53+K56+K59+K62+K65+K68+K71</f>
        <v>53460.817999999999</v>
      </c>
      <c r="L12" s="15">
        <f t="shared" si="9"/>
        <v>33460.817999999999</v>
      </c>
    </row>
    <row r="13" spans="1:12" s="8" customFormat="1" x14ac:dyDescent="0.25">
      <c r="A13" s="42"/>
      <c r="B13" s="42"/>
      <c r="C13" s="28" t="s">
        <v>62</v>
      </c>
      <c r="D13" s="15">
        <f>D17+D20+D29+D32+D36+D39+D42+D45+D48+D51+D54+D57+D60+D63</f>
        <v>95507.384999999995</v>
      </c>
      <c r="E13" s="15">
        <f t="shared" ref="E13:J13" si="10">E17+E20+E29+E32+E36+E39+E42+E45+E48+E51+E54+E57+E60+E63</f>
        <v>78554.873000000007</v>
      </c>
      <c r="F13" s="19">
        <f t="shared" si="10"/>
        <v>76593.227999999988</v>
      </c>
      <c r="G13" s="19">
        <f t="shared" si="10"/>
        <v>77557.75</v>
      </c>
      <c r="H13" s="19">
        <f t="shared" si="10"/>
        <v>98173.5</v>
      </c>
      <c r="I13" s="15">
        <f>I17+I20+I23+I26+I29+I32+I36+I39+I42+I45+I48+I51+I54+I57+I60+I63+I66+I69+I72</f>
        <v>93278.885000000009</v>
      </c>
      <c r="J13" s="15">
        <f t="shared" si="10"/>
        <v>98537.17</v>
      </c>
      <c r="K13" s="15">
        <f t="shared" ref="K13:L13" si="11">K17+K20+K29+K32+K36+K39+K42+K45+K48+K51+K54+K57+K60+K63</f>
        <v>98689.57</v>
      </c>
      <c r="L13" s="15">
        <f t="shared" si="11"/>
        <v>98870.97</v>
      </c>
    </row>
    <row r="14" spans="1:12" s="31" customFormat="1" x14ac:dyDescent="0.25">
      <c r="A14" s="43"/>
      <c r="B14" s="43"/>
      <c r="C14" s="30" t="s">
        <v>133</v>
      </c>
      <c r="D14" s="19">
        <f>D33</f>
        <v>103.2</v>
      </c>
      <c r="E14" s="19">
        <f t="shared" ref="E14:J14" si="12">E33</f>
        <v>0</v>
      </c>
      <c r="F14" s="19">
        <f t="shared" si="12"/>
        <v>0</v>
      </c>
      <c r="G14" s="19">
        <f t="shared" si="12"/>
        <v>0</v>
      </c>
      <c r="H14" s="19">
        <f t="shared" si="12"/>
        <v>0</v>
      </c>
      <c r="I14" s="19">
        <f t="shared" si="12"/>
        <v>0</v>
      </c>
      <c r="J14" s="19">
        <f t="shared" si="12"/>
        <v>0</v>
      </c>
      <c r="K14" s="19">
        <f t="shared" ref="K14:L14" si="13">K33</f>
        <v>0</v>
      </c>
      <c r="L14" s="19">
        <f t="shared" si="13"/>
        <v>0</v>
      </c>
    </row>
    <row r="15" spans="1:12" x14ac:dyDescent="0.25">
      <c r="A15" s="33" t="s">
        <v>63</v>
      </c>
      <c r="B15" s="33" t="s">
        <v>6</v>
      </c>
      <c r="C15" s="1" t="s">
        <v>60</v>
      </c>
      <c r="D15" s="13">
        <f>SUM(D16:D17)</f>
        <v>40844.574000000001</v>
      </c>
      <c r="E15" s="13">
        <f t="shared" ref="E15:J15" si="14">SUM(E16:E17)</f>
        <v>34832.400000000001</v>
      </c>
      <c r="F15" s="18">
        <f t="shared" si="14"/>
        <v>40788.434999999998</v>
      </c>
      <c r="G15" s="18">
        <f t="shared" si="14"/>
        <v>47020.334999999992</v>
      </c>
      <c r="H15" s="18">
        <f>SUM(H16:H17)</f>
        <v>47551.684999999998</v>
      </c>
      <c r="I15" s="18">
        <f t="shared" si="14"/>
        <v>52982.228999999999</v>
      </c>
      <c r="J15" s="13">
        <f t="shared" si="14"/>
        <v>54629.625</v>
      </c>
      <c r="K15" s="13">
        <f t="shared" ref="K15:L15" si="15">SUM(K16:K17)</f>
        <v>53367.017999999996</v>
      </c>
      <c r="L15" s="13">
        <f t="shared" si="15"/>
        <v>33367.017999999996</v>
      </c>
    </row>
    <row r="16" spans="1:12" ht="24" customHeight="1" x14ac:dyDescent="0.25">
      <c r="A16" s="34"/>
      <c r="B16" s="34"/>
      <c r="C16" s="1" t="s">
        <v>61</v>
      </c>
      <c r="D16" s="13">
        <v>40844.574000000001</v>
      </c>
      <c r="E16" s="13">
        <v>34832.400000000001</v>
      </c>
      <c r="F16" s="18">
        <v>40788.434999999998</v>
      </c>
      <c r="G16" s="18">
        <f>37667.7+352.4-124.891+6802.97+500.001+1822.155</f>
        <v>47020.334999999992</v>
      </c>
      <c r="H16" s="18">
        <f>47551.685</f>
        <v>47551.684999999998</v>
      </c>
      <c r="I16" s="18">
        <f>58862.508-573.715-40.769+6.575+17.63-5290</f>
        <v>52982.228999999999</v>
      </c>
      <c r="J16" s="13">
        <f>53367.018+1263.607-1</f>
        <v>54629.625</v>
      </c>
      <c r="K16" s="13">
        <v>53367.017999999996</v>
      </c>
      <c r="L16" s="13">
        <v>33367.017999999996</v>
      </c>
    </row>
    <row r="17" spans="1:12" ht="38.25" customHeight="1" x14ac:dyDescent="0.25">
      <c r="A17" s="34"/>
      <c r="B17" s="35"/>
      <c r="C17" s="1" t="s">
        <v>62</v>
      </c>
      <c r="D17" s="13"/>
      <c r="E17" s="13"/>
      <c r="F17" s="18"/>
      <c r="G17" s="18"/>
      <c r="H17" s="18"/>
      <c r="I17" s="18"/>
      <c r="J17" s="13"/>
      <c r="K17" s="13"/>
      <c r="L17" s="13"/>
    </row>
    <row r="18" spans="1:12" ht="24" customHeight="1" x14ac:dyDescent="0.25">
      <c r="A18" s="34"/>
      <c r="B18" s="33" t="s">
        <v>118</v>
      </c>
      <c r="C18" s="1" t="s">
        <v>60</v>
      </c>
      <c r="D18" s="13">
        <f>SUM(D19:D20)</f>
        <v>92730.4</v>
      </c>
      <c r="E18" s="13">
        <f t="shared" ref="E18:J18" si="16">SUM(E19:E20)</f>
        <v>72773.273000000001</v>
      </c>
      <c r="F18" s="18">
        <f>SUM(F19:F20)</f>
        <v>72275.827999999994</v>
      </c>
      <c r="G18" s="18">
        <f t="shared" si="16"/>
        <v>73013.75</v>
      </c>
      <c r="H18" s="18">
        <f t="shared" si="16"/>
        <v>95606.5</v>
      </c>
      <c r="I18" s="18">
        <f t="shared" si="16"/>
        <v>86943.169000000009</v>
      </c>
      <c r="J18" s="13">
        <f t="shared" si="16"/>
        <v>95189.47</v>
      </c>
      <c r="K18" s="13">
        <f t="shared" ref="K18:L18" si="17">SUM(K19:K20)</f>
        <v>95189.47</v>
      </c>
      <c r="L18" s="13">
        <f t="shared" si="17"/>
        <v>95189.47</v>
      </c>
    </row>
    <row r="19" spans="1:12" ht="24" customHeight="1" x14ac:dyDescent="0.25">
      <c r="A19" s="34"/>
      <c r="B19" s="34"/>
      <c r="C19" s="1" t="s">
        <v>61</v>
      </c>
      <c r="D19" s="13"/>
      <c r="E19" s="13"/>
      <c r="F19" s="18"/>
      <c r="G19" s="18"/>
      <c r="H19" s="18"/>
      <c r="I19" s="18"/>
      <c r="J19" s="13"/>
      <c r="K19" s="13"/>
      <c r="L19" s="13"/>
    </row>
    <row r="20" spans="1:12" ht="27.75" customHeight="1" x14ac:dyDescent="0.25">
      <c r="A20" s="34"/>
      <c r="B20" s="35"/>
      <c r="C20" s="1" t="s">
        <v>62</v>
      </c>
      <c r="D20" s="13">
        <v>92730.4</v>
      </c>
      <c r="E20" s="13">
        <v>72773.273000000001</v>
      </c>
      <c r="F20" s="18">
        <v>72275.827999999994</v>
      </c>
      <c r="G20" s="18">
        <f>74522-8.25-1500</f>
        <v>73013.75</v>
      </c>
      <c r="H20" s="18">
        <f>87277.6+8328.9</f>
        <v>95606.5</v>
      </c>
      <c r="I20" s="18">
        <f>79777.74+2784+4381.429</f>
        <v>86943.169000000009</v>
      </c>
      <c r="J20" s="13">
        <v>95189.47</v>
      </c>
      <c r="K20" s="13">
        <v>95189.47</v>
      </c>
      <c r="L20" s="13">
        <v>95189.47</v>
      </c>
    </row>
    <row r="21" spans="1:12" ht="20.399999999999999" customHeight="1" x14ac:dyDescent="0.25">
      <c r="A21" s="34"/>
      <c r="B21" s="33" t="s">
        <v>129</v>
      </c>
      <c r="C21" s="1" t="s">
        <v>60</v>
      </c>
      <c r="D21" s="13">
        <f>SUM(D22:D23)</f>
        <v>0</v>
      </c>
      <c r="E21" s="13">
        <f t="shared" ref="E21" si="18">SUM(E22:E23)</f>
        <v>0</v>
      </c>
      <c r="F21" s="18">
        <f>SUM(F22:F23)</f>
        <v>0</v>
      </c>
      <c r="G21" s="18">
        <f t="shared" ref="G21:J21" si="19">SUM(G22:G23)</f>
        <v>0</v>
      </c>
      <c r="H21" s="18">
        <f t="shared" si="19"/>
        <v>0</v>
      </c>
      <c r="I21" s="18">
        <f t="shared" si="19"/>
        <v>134.63200000000001</v>
      </c>
      <c r="J21" s="13">
        <f t="shared" si="19"/>
        <v>0</v>
      </c>
      <c r="K21" s="13">
        <f t="shared" ref="K21:L21" si="20">SUM(K22:K23)</f>
        <v>0</v>
      </c>
      <c r="L21" s="13">
        <f t="shared" si="20"/>
        <v>0</v>
      </c>
    </row>
    <row r="22" spans="1:12" ht="20.399999999999999" customHeight="1" x14ac:dyDescent="0.25">
      <c r="A22" s="34"/>
      <c r="B22" s="34"/>
      <c r="C22" s="1" t="s">
        <v>61</v>
      </c>
      <c r="D22" s="13"/>
      <c r="E22" s="13"/>
      <c r="F22" s="18"/>
      <c r="G22" s="18"/>
      <c r="H22" s="18"/>
      <c r="I22" s="18">
        <v>67.316000000000003</v>
      </c>
      <c r="J22" s="13"/>
      <c r="K22" s="13"/>
      <c r="L22" s="13"/>
    </row>
    <row r="23" spans="1:12" ht="20.399999999999999" customHeight="1" x14ac:dyDescent="0.25">
      <c r="A23" s="34"/>
      <c r="B23" s="35"/>
      <c r="C23" s="1" t="s">
        <v>62</v>
      </c>
      <c r="D23" s="13"/>
      <c r="E23" s="13"/>
      <c r="F23" s="18"/>
      <c r="G23" s="18"/>
      <c r="H23" s="18"/>
      <c r="I23" s="18">
        <v>67.316000000000003</v>
      </c>
      <c r="J23" s="13"/>
      <c r="K23" s="13"/>
      <c r="L23" s="13"/>
    </row>
    <row r="24" spans="1:12" ht="20.399999999999999" customHeight="1" x14ac:dyDescent="0.25">
      <c r="A24" s="34"/>
      <c r="B24" s="47" t="s">
        <v>135</v>
      </c>
      <c r="C24" s="22" t="s">
        <v>60</v>
      </c>
      <c r="D24" s="18">
        <f>SUM(D25:D26)</f>
        <v>0</v>
      </c>
      <c r="E24" s="18">
        <f t="shared" ref="E24:J24" si="21">SUM(E25:E26)</f>
        <v>0</v>
      </c>
      <c r="F24" s="18">
        <f>SUM(F25:F26)</f>
        <v>0</v>
      </c>
      <c r="G24" s="18">
        <f t="shared" si="21"/>
        <v>0</v>
      </c>
      <c r="H24" s="18">
        <f t="shared" si="21"/>
        <v>0</v>
      </c>
      <c r="I24" s="18">
        <f t="shared" si="21"/>
        <v>3419.3939999999998</v>
      </c>
      <c r="J24" s="18">
        <f t="shared" si="21"/>
        <v>0</v>
      </c>
      <c r="K24" s="18">
        <f t="shared" ref="K24:L24" si="22">SUM(K25:K26)</f>
        <v>0</v>
      </c>
      <c r="L24" s="18">
        <f t="shared" si="22"/>
        <v>0</v>
      </c>
    </row>
    <row r="25" spans="1:12" ht="20.399999999999999" customHeight="1" x14ac:dyDescent="0.25">
      <c r="A25" s="34"/>
      <c r="B25" s="48"/>
      <c r="C25" s="22" t="s">
        <v>61</v>
      </c>
      <c r="D25" s="18"/>
      <c r="E25" s="18"/>
      <c r="F25" s="18"/>
      <c r="G25" s="18"/>
      <c r="H25" s="18"/>
      <c r="I25" s="18">
        <f>40.769-6.575</f>
        <v>34.193999999999996</v>
      </c>
      <c r="J25" s="18"/>
      <c r="K25" s="18"/>
      <c r="L25" s="18"/>
    </row>
    <row r="26" spans="1:12" ht="20.399999999999999" customHeight="1" x14ac:dyDescent="0.25">
      <c r="A26" s="35"/>
      <c r="B26" s="49"/>
      <c r="C26" s="22" t="s">
        <v>62</v>
      </c>
      <c r="D26" s="18"/>
      <c r="E26" s="18"/>
      <c r="F26" s="18"/>
      <c r="G26" s="18"/>
      <c r="H26" s="18"/>
      <c r="I26" s="18">
        <f>4036.2-651</f>
        <v>3385.2</v>
      </c>
      <c r="J26" s="18"/>
      <c r="K26" s="18"/>
      <c r="L26" s="18"/>
    </row>
    <row r="27" spans="1:12" ht="13.95" customHeight="1" x14ac:dyDescent="0.25">
      <c r="A27" s="33" t="s">
        <v>64</v>
      </c>
      <c r="B27" s="33" t="s">
        <v>7</v>
      </c>
      <c r="C27" s="1" t="s">
        <v>60</v>
      </c>
      <c r="D27" s="13">
        <f>SUM(D28:D29)</f>
        <v>0</v>
      </c>
      <c r="E27" s="13">
        <f t="shared" ref="E27:J27" si="23">SUM(E28:E29)</f>
        <v>0</v>
      </c>
      <c r="F27" s="18">
        <f t="shared" si="23"/>
        <v>0</v>
      </c>
      <c r="G27" s="18">
        <f t="shared" si="23"/>
        <v>0</v>
      </c>
      <c r="H27" s="18">
        <f t="shared" si="23"/>
        <v>0</v>
      </c>
      <c r="I27" s="18">
        <f t="shared" si="23"/>
        <v>0</v>
      </c>
      <c r="J27" s="13">
        <f t="shared" si="23"/>
        <v>0</v>
      </c>
      <c r="K27" s="13">
        <f t="shared" ref="K27:L27" si="24">SUM(K28:K29)</f>
        <v>0</v>
      </c>
      <c r="L27" s="13">
        <f t="shared" si="24"/>
        <v>0</v>
      </c>
    </row>
    <row r="28" spans="1:12" ht="13.95" customHeight="1" x14ac:dyDescent="0.25">
      <c r="A28" s="34"/>
      <c r="B28" s="34"/>
      <c r="C28" s="1" t="s">
        <v>61</v>
      </c>
      <c r="D28" s="13"/>
      <c r="E28" s="13"/>
      <c r="F28" s="18"/>
      <c r="G28" s="18"/>
      <c r="H28" s="18"/>
      <c r="I28" s="18"/>
      <c r="J28" s="13"/>
      <c r="K28" s="13"/>
      <c r="L28" s="13"/>
    </row>
    <row r="29" spans="1:12" ht="18" customHeight="1" x14ac:dyDescent="0.25">
      <c r="A29" s="34"/>
      <c r="B29" s="35"/>
      <c r="C29" s="1" t="s">
        <v>62</v>
      </c>
      <c r="D29" s="13"/>
      <c r="E29" s="13"/>
      <c r="F29" s="18"/>
      <c r="G29" s="18"/>
      <c r="H29" s="18"/>
      <c r="I29" s="18"/>
      <c r="J29" s="13"/>
      <c r="K29" s="13"/>
      <c r="L29" s="13"/>
    </row>
    <row r="30" spans="1:12" ht="33.75" customHeight="1" x14ac:dyDescent="0.25">
      <c r="A30" s="34"/>
      <c r="B30" s="70" t="s">
        <v>8</v>
      </c>
      <c r="C30" s="1" t="s">
        <v>60</v>
      </c>
      <c r="D30" s="13">
        <f>SUM(D31:D33)</f>
        <v>103.2</v>
      </c>
      <c r="E30" s="13">
        <f t="shared" ref="E30:J30" si="25">SUM(E31:E33)</f>
        <v>0</v>
      </c>
      <c r="F30" s="13">
        <f t="shared" si="25"/>
        <v>0</v>
      </c>
      <c r="G30" s="13">
        <f t="shared" si="25"/>
        <v>0</v>
      </c>
      <c r="H30" s="13">
        <f t="shared" si="25"/>
        <v>0</v>
      </c>
      <c r="I30" s="18">
        <f t="shared" si="25"/>
        <v>0</v>
      </c>
      <c r="J30" s="13">
        <f t="shared" si="25"/>
        <v>0</v>
      </c>
      <c r="K30" s="13">
        <f t="shared" ref="K30:L30" si="26">SUM(K31:K33)</f>
        <v>0</v>
      </c>
      <c r="L30" s="13">
        <f t="shared" si="26"/>
        <v>0</v>
      </c>
    </row>
    <row r="31" spans="1:12" ht="48.75" customHeight="1" x14ac:dyDescent="0.25">
      <c r="A31" s="34"/>
      <c r="B31" s="71"/>
      <c r="C31" s="1" t="s">
        <v>61</v>
      </c>
      <c r="D31" s="13"/>
      <c r="E31" s="13"/>
      <c r="F31" s="18"/>
      <c r="G31" s="18"/>
      <c r="H31" s="18"/>
      <c r="I31" s="18"/>
      <c r="J31" s="13"/>
      <c r="K31" s="13"/>
      <c r="L31" s="13"/>
    </row>
    <row r="32" spans="1:12" ht="25.5" customHeight="1" x14ac:dyDescent="0.25">
      <c r="A32" s="34"/>
      <c r="B32" s="71"/>
      <c r="C32" s="1" t="s">
        <v>62</v>
      </c>
      <c r="D32" s="13">
        <v>0</v>
      </c>
      <c r="E32" s="13">
        <v>0</v>
      </c>
      <c r="F32" s="18">
        <v>0</v>
      </c>
      <c r="G32" s="18">
        <v>0</v>
      </c>
      <c r="H32" s="18">
        <v>0</v>
      </c>
      <c r="I32" s="18">
        <v>0</v>
      </c>
      <c r="J32" s="13">
        <v>0</v>
      </c>
      <c r="K32" s="13">
        <v>0</v>
      </c>
      <c r="L32" s="13">
        <v>0</v>
      </c>
    </row>
    <row r="33" spans="1:12" s="21" customFormat="1" ht="25.5" customHeight="1" x14ac:dyDescent="0.25">
      <c r="A33" s="35"/>
      <c r="B33" s="72"/>
      <c r="C33" s="22" t="s">
        <v>133</v>
      </c>
      <c r="D33" s="18">
        <v>103.2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1:12" ht="42" customHeight="1" x14ac:dyDescent="0.25">
      <c r="A34" s="33" t="s">
        <v>65</v>
      </c>
      <c r="B34" s="36" t="s">
        <v>9</v>
      </c>
      <c r="C34" s="1" t="s">
        <v>60</v>
      </c>
      <c r="D34" s="13">
        <f>SUM(D35:D36)</f>
        <v>2540.1239999999998</v>
      </c>
      <c r="E34" s="13">
        <f t="shared" ref="E34:J34" si="27">SUM(E35:E36)</f>
        <v>5781.6</v>
      </c>
      <c r="F34" s="18">
        <f t="shared" si="27"/>
        <v>4317.3999999999996</v>
      </c>
      <c r="G34" s="18">
        <f t="shared" si="27"/>
        <v>4544</v>
      </c>
      <c r="H34" s="18">
        <f t="shared" si="27"/>
        <v>2567</v>
      </c>
      <c r="I34" s="18">
        <f t="shared" si="27"/>
        <v>2883.2</v>
      </c>
      <c r="J34" s="13">
        <f t="shared" si="27"/>
        <v>3347.7</v>
      </c>
      <c r="K34" s="13">
        <f t="shared" ref="K34:L34" si="28">SUM(K35:K36)</f>
        <v>3500.1</v>
      </c>
      <c r="L34" s="13">
        <f t="shared" si="28"/>
        <v>3681.5</v>
      </c>
    </row>
    <row r="35" spans="1:12" ht="42" customHeight="1" x14ac:dyDescent="0.25">
      <c r="A35" s="34"/>
      <c r="B35" s="36"/>
      <c r="C35" s="1" t="s">
        <v>61</v>
      </c>
      <c r="D35" s="13"/>
      <c r="E35" s="13"/>
      <c r="F35" s="18"/>
      <c r="G35" s="18"/>
      <c r="H35" s="18"/>
      <c r="I35" s="18"/>
      <c r="J35" s="13"/>
      <c r="K35" s="13"/>
      <c r="L35" s="13"/>
    </row>
    <row r="36" spans="1:12" ht="51" customHeight="1" x14ac:dyDescent="0.25">
      <c r="A36" s="35"/>
      <c r="B36" s="36"/>
      <c r="C36" s="1" t="s">
        <v>62</v>
      </c>
      <c r="D36" s="13">
        <v>2540.1239999999998</v>
      </c>
      <c r="E36" s="13">
        <v>5781.6</v>
      </c>
      <c r="F36" s="18">
        <v>4317.3999999999996</v>
      </c>
      <c r="G36" s="18">
        <v>4544</v>
      </c>
      <c r="H36" s="18">
        <f>4168.5-1601.5</f>
        <v>2567</v>
      </c>
      <c r="I36" s="18">
        <v>2883.2</v>
      </c>
      <c r="J36" s="13">
        <v>3347.7</v>
      </c>
      <c r="K36" s="13">
        <v>3500.1</v>
      </c>
      <c r="L36" s="13">
        <v>3681.5</v>
      </c>
    </row>
    <row r="37" spans="1:12" x14ac:dyDescent="0.25">
      <c r="A37" s="33" t="s">
        <v>66</v>
      </c>
      <c r="B37" s="33" t="s">
        <v>10</v>
      </c>
      <c r="C37" s="1" t="s">
        <v>60</v>
      </c>
      <c r="D37" s="13">
        <f>SUM(D38:D39)</f>
        <v>0</v>
      </c>
      <c r="E37" s="13">
        <f t="shared" ref="E37:J37" si="29">SUM(E38:E39)</f>
        <v>2996.82</v>
      </c>
      <c r="F37" s="18">
        <f t="shared" si="29"/>
        <v>5219.9989999999998</v>
      </c>
      <c r="G37" s="18">
        <f t="shared" si="29"/>
        <v>6000.5859999999993</v>
      </c>
      <c r="H37" s="18">
        <f t="shared" si="29"/>
        <v>3248.9520000000002</v>
      </c>
      <c r="I37" s="18">
        <f t="shared" si="29"/>
        <v>0</v>
      </c>
      <c r="J37" s="13">
        <f t="shared" si="29"/>
        <v>0</v>
      </c>
      <c r="K37" s="13">
        <f t="shared" ref="K37:L37" si="30">SUM(K38:K39)</f>
        <v>0</v>
      </c>
      <c r="L37" s="13">
        <f t="shared" si="30"/>
        <v>0</v>
      </c>
    </row>
    <row r="38" spans="1:12" x14ac:dyDescent="0.25">
      <c r="A38" s="34"/>
      <c r="B38" s="34"/>
      <c r="C38" s="1" t="s">
        <v>61</v>
      </c>
      <c r="D38" s="13">
        <v>0</v>
      </c>
      <c r="E38" s="13">
        <v>2996.82</v>
      </c>
      <c r="F38" s="18">
        <v>5219.9989999999998</v>
      </c>
      <c r="G38" s="18">
        <f>2500-794.923+4884.641-249.26-339.872</f>
        <v>6000.5859999999993</v>
      </c>
      <c r="H38" s="18">
        <f>3249.496-0.544</f>
        <v>3248.9520000000002</v>
      </c>
      <c r="I38" s="18">
        <v>0</v>
      </c>
      <c r="J38" s="13">
        <v>0</v>
      </c>
      <c r="K38" s="13">
        <v>0</v>
      </c>
      <c r="L38" s="13">
        <v>0</v>
      </c>
    </row>
    <row r="39" spans="1:12" ht="19.5" customHeight="1" x14ac:dyDescent="0.25">
      <c r="A39" s="35"/>
      <c r="B39" s="35"/>
      <c r="C39" s="1" t="s">
        <v>62</v>
      </c>
      <c r="D39" s="13"/>
      <c r="E39" s="13"/>
      <c r="F39" s="18"/>
      <c r="G39" s="18"/>
      <c r="H39" s="18"/>
      <c r="I39" s="18"/>
      <c r="J39" s="13"/>
      <c r="K39" s="13"/>
      <c r="L39" s="13"/>
    </row>
    <row r="40" spans="1:12" x14ac:dyDescent="0.25">
      <c r="A40" s="33" t="s">
        <v>67</v>
      </c>
      <c r="B40" s="33" t="s">
        <v>11</v>
      </c>
      <c r="C40" s="1" t="s">
        <v>60</v>
      </c>
      <c r="D40" s="13">
        <f>SUM(D41:D42)</f>
        <v>725</v>
      </c>
      <c r="E40" s="13">
        <f t="shared" ref="E40:J40" si="31">SUM(E41:E42)</f>
        <v>730</v>
      </c>
      <c r="F40" s="18">
        <f t="shared" si="31"/>
        <v>818</v>
      </c>
      <c r="G40" s="18">
        <f t="shared" si="31"/>
        <v>704.44899999999996</v>
      </c>
      <c r="H40" s="18">
        <f t="shared" si="31"/>
        <v>700</v>
      </c>
      <c r="I40" s="18">
        <f t="shared" si="31"/>
        <v>415</v>
      </c>
      <c r="J40" s="13">
        <f t="shared" si="31"/>
        <v>38.200000000000003</v>
      </c>
      <c r="K40" s="13">
        <f t="shared" ref="K40:L40" si="32">SUM(K41:K42)</f>
        <v>0</v>
      </c>
      <c r="L40" s="13">
        <f t="shared" si="32"/>
        <v>0</v>
      </c>
    </row>
    <row r="41" spans="1:12" x14ac:dyDescent="0.25">
      <c r="A41" s="34"/>
      <c r="B41" s="34"/>
      <c r="C41" s="1" t="s">
        <v>61</v>
      </c>
      <c r="D41" s="13">
        <v>725</v>
      </c>
      <c r="E41" s="13">
        <v>730</v>
      </c>
      <c r="F41" s="18">
        <f>818</f>
        <v>818</v>
      </c>
      <c r="G41" s="18">
        <v>704.44899999999996</v>
      </c>
      <c r="H41" s="18">
        <v>700</v>
      </c>
      <c r="I41" s="18">
        <f>125+290</f>
        <v>415</v>
      </c>
      <c r="J41" s="13">
        <v>38.200000000000003</v>
      </c>
      <c r="K41" s="13">
        <v>0</v>
      </c>
      <c r="L41" s="13">
        <v>0</v>
      </c>
    </row>
    <row r="42" spans="1:12" ht="18" customHeight="1" x14ac:dyDescent="0.25">
      <c r="A42" s="35"/>
      <c r="B42" s="35"/>
      <c r="C42" s="1" t="s">
        <v>62</v>
      </c>
      <c r="D42" s="13"/>
      <c r="E42" s="13"/>
      <c r="F42" s="18"/>
      <c r="G42" s="18"/>
      <c r="H42" s="18"/>
      <c r="I42" s="18"/>
      <c r="J42" s="13"/>
      <c r="K42" s="13"/>
      <c r="L42" s="13"/>
    </row>
    <row r="43" spans="1:12" ht="19.95" customHeight="1" x14ac:dyDescent="0.25">
      <c r="A43" s="33" t="s">
        <v>68</v>
      </c>
      <c r="B43" s="33" t="s">
        <v>12</v>
      </c>
      <c r="C43" s="1" t="s">
        <v>60</v>
      </c>
      <c r="D43" s="13">
        <f>SUM(D44:D45)</f>
        <v>865.43499999999995</v>
      </c>
      <c r="E43" s="13">
        <f t="shared" ref="E43:J43" si="33">SUM(E44:E45)</f>
        <v>2124.6419999999998</v>
      </c>
      <c r="F43" s="18">
        <f t="shared" si="33"/>
        <v>700.42399999999998</v>
      </c>
      <c r="G43" s="18">
        <f t="shared" si="33"/>
        <v>293.91000000000003</v>
      </c>
      <c r="H43" s="18">
        <f t="shared" si="33"/>
        <v>1042.5</v>
      </c>
      <c r="I43" s="18">
        <f t="shared" si="33"/>
        <v>141</v>
      </c>
      <c r="J43" s="13">
        <f t="shared" si="33"/>
        <v>0</v>
      </c>
      <c r="K43" s="13">
        <f t="shared" ref="K43:L43" si="34">SUM(K44:K45)</f>
        <v>0</v>
      </c>
      <c r="L43" s="13">
        <f t="shared" si="34"/>
        <v>0</v>
      </c>
    </row>
    <row r="44" spans="1:12" ht="19.95" customHeight="1" x14ac:dyDescent="0.25">
      <c r="A44" s="34"/>
      <c r="B44" s="34"/>
      <c r="C44" s="1" t="s">
        <v>61</v>
      </c>
      <c r="D44" s="13">
        <v>865.43499999999995</v>
      </c>
      <c r="E44" s="13">
        <v>2124.6419999999998</v>
      </c>
      <c r="F44" s="18">
        <f>700.424</f>
        <v>700.42399999999998</v>
      </c>
      <c r="G44" s="18">
        <f>600-178.4-83.538-48.152+4</f>
        <v>293.91000000000003</v>
      </c>
      <c r="H44" s="18">
        <f>1046.5-4</f>
        <v>1042.5</v>
      </c>
      <c r="I44" s="18">
        <f>29+42+70</f>
        <v>141</v>
      </c>
      <c r="J44" s="13">
        <v>0</v>
      </c>
      <c r="K44" s="13">
        <v>0</v>
      </c>
      <c r="L44" s="13">
        <v>0</v>
      </c>
    </row>
    <row r="45" spans="1:12" ht="19.95" customHeight="1" x14ac:dyDescent="0.25">
      <c r="A45" s="34"/>
      <c r="B45" s="35"/>
      <c r="C45" s="1" t="s">
        <v>62</v>
      </c>
      <c r="D45" s="13"/>
      <c r="E45" s="13"/>
      <c r="F45" s="18"/>
      <c r="G45" s="18"/>
      <c r="H45" s="18"/>
      <c r="I45" s="18"/>
      <c r="J45" s="13"/>
      <c r="K45" s="13"/>
      <c r="L45" s="13"/>
    </row>
    <row r="46" spans="1:12" ht="19.95" customHeight="1" x14ac:dyDescent="0.25">
      <c r="A46" s="34"/>
      <c r="B46" s="36" t="s">
        <v>13</v>
      </c>
      <c r="C46" s="1" t="s">
        <v>60</v>
      </c>
      <c r="D46" s="13">
        <f>SUM(D47:D48)</f>
        <v>236.86099999999999</v>
      </c>
      <c r="E46" s="13">
        <f t="shared" ref="E46:J46" si="35">SUM(E47:E48)</f>
        <v>0</v>
      </c>
      <c r="F46" s="18">
        <f t="shared" si="35"/>
        <v>0</v>
      </c>
      <c r="G46" s="18">
        <f t="shared" si="35"/>
        <v>0</v>
      </c>
      <c r="H46" s="18">
        <f t="shared" si="35"/>
        <v>0</v>
      </c>
      <c r="I46" s="18">
        <f t="shared" si="35"/>
        <v>0</v>
      </c>
      <c r="J46" s="13">
        <f t="shared" si="35"/>
        <v>0</v>
      </c>
      <c r="K46" s="13">
        <f t="shared" ref="K46:L46" si="36">SUM(K47:K48)</f>
        <v>0</v>
      </c>
      <c r="L46" s="13">
        <f t="shared" si="36"/>
        <v>0</v>
      </c>
    </row>
    <row r="47" spans="1:12" ht="19.95" customHeight="1" x14ac:dyDescent="0.25">
      <c r="A47" s="34"/>
      <c r="B47" s="36"/>
      <c r="C47" s="1" t="s">
        <v>61</v>
      </c>
      <c r="D47" s="13"/>
      <c r="E47" s="13"/>
      <c r="F47" s="18"/>
      <c r="G47" s="18"/>
      <c r="H47" s="18"/>
      <c r="I47" s="18"/>
      <c r="J47" s="13"/>
      <c r="K47" s="13"/>
      <c r="L47" s="13"/>
    </row>
    <row r="48" spans="1:12" ht="19.95" customHeight="1" x14ac:dyDescent="0.25">
      <c r="A48" s="35"/>
      <c r="B48" s="36"/>
      <c r="C48" s="1" t="s">
        <v>62</v>
      </c>
      <c r="D48" s="13">
        <v>236.86099999999999</v>
      </c>
      <c r="E48" s="13">
        <v>0</v>
      </c>
      <c r="F48" s="18">
        <v>0</v>
      </c>
      <c r="G48" s="18">
        <v>0</v>
      </c>
      <c r="H48" s="18">
        <v>0</v>
      </c>
      <c r="I48" s="18">
        <v>0</v>
      </c>
      <c r="J48" s="13">
        <v>0</v>
      </c>
      <c r="K48" s="13">
        <v>0</v>
      </c>
      <c r="L48" s="13">
        <v>0</v>
      </c>
    </row>
    <row r="49" spans="1:12" ht="24" customHeight="1" x14ac:dyDescent="0.25">
      <c r="A49" s="33" t="s">
        <v>69</v>
      </c>
      <c r="B49" s="33" t="s">
        <v>14</v>
      </c>
      <c r="C49" s="1" t="s">
        <v>60</v>
      </c>
      <c r="D49" s="13">
        <f>SUM(D50:D51)</f>
        <v>15</v>
      </c>
      <c r="E49" s="13">
        <f t="shared" ref="E49:J49" si="37">SUM(E50:E51)</f>
        <v>15</v>
      </c>
      <c r="F49" s="18">
        <f t="shared" si="37"/>
        <v>15</v>
      </c>
      <c r="G49" s="18">
        <f t="shared" si="37"/>
        <v>5</v>
      </c>
      <c r="H49" s="18">
        <f t="shared" si="37"/>
        <v>5</v>
      </c>
      <c r="I49" s="18">
        <f t="shared" si="37"/>
        <v>0</v>
      </c>
      <c r="J49" s="13">
        <f t="shared" si="37"/>
        <v>0</v>
      </c>
      <c r="K49" s="13">
        <f t="shared" ref="K49:L49" si="38">SUM(K50:K51)</f>
        <v>0</v>
      </c>
      <c r="L49" s="13">
        <f t="shared" si="38"/>
        <v>0</v>
      </c>
    </row>
    <row r="50" spans="1:12" ht="24" customHeight="1" x14ac:dyDescent="0.25">
      <c r="A50" s="34"/>
      <c r="B50" s="34"/>
      <c r="C50" s="1" t="s">
        <v>61</v>
      </c>
      <c r="D50" s="13">
        <v>15</v>
      </c>
      <c r="E50" s="13">
        <v>15</v>
      </c>
      <c r="F50" s="18">
        <v>15</v>
      </c>
      <c r="G50" s="18">
        <v>5</v>
      </c>
      <c r="H50" s="18">
        <f>5</f>
        <v>5</v>
      </c>
      <c r="I50" s="18">
        <v>0</v>
      </c>
      <c r="J50" s="13">
        <v>0</v>
      </c>
      <c r="K50" s="13">
        <v>0</v>
      </c>
      <c r="L50" s="13">
        <v>0</v>
      </c>
    </row>
    <row r="51" spans="1:12" ht="26.25" customHeight="1" x14ac:dyDescent="0.25">
      <c r="A51" s="35"/>
      <c r="B51" s="35"/>
      <c r="C51" s="1" t="s">
        <v>62</v>
      </c>
      <c r="D51" s="13"/>
      <c r="E51" s="13"/>
      <c r="F51" s="18"/>
      <c r="G51" s="18"/>
      <c r="H51" s="18"/>
      <c r="I51" s="18"/>
      <c r="J51" s="13"/>
      <c r="K51" s="13"/>
      <c r="L51" s="13"/>
    </row>
    <row r="52" spans="1:12" ht="46.95" customHeight="1" x14ac:dyDescent="0.25">
      <c r="A52" s="33" t="s">
        <v>70</v>
      </c>
      <c r="B52" s="33" t="s">
        <v>15</v>
      </c>
      <c r="C52" s="1" t="s">
        <v>60</v>
      </c>
      <c r="D52" s="13">
        <f>SUM(D53:D54)</f>
        <v>386</v>
      </c>
      <c r="E52" s="13">
        <f t="shared" ref="E52:J52" si="39">SUM(E53:E54)</f>
        <v>310</v>
      </c>
      <c r="F52" s="18">
        <f t="shared" si="39"/>
        <v>290</v>
      </c>
      <c r="G52" s="18">
        <f t="shared" si="39"/>
        <v>0</v>
      </c>
      <c r="H52" s="18">
        <f t="shared" si="39"/>
        <v>0</v>
      </c>
      <c r="I52" s="18">
        <f t="shared" si="39"/>
        <v>0</v>
      </c>
      <c r="J52" s="13">
        <f t="shared" si="39"/>
        <v>0</v>
      </c>
      <c r="K52" s="13">
        <f t="shared" ref="K52:L52" si="40">SUM(K53:K54)</f>
        <v>0</v>
      </c>
      <c r="L52" s="13">
        <f t="shared" si="40"/>
        <v>0</v>
      </c>
    </row>
    <row r="53" spans="1:12" ht="46.95" customHeight="1" x14ac:dyDescent="0.25">
      <c r="A53" s="34"/>
      <c r="B53" s="34"/>
      <c r="C53" s="1" t="s">
        <v>61</v>
      </c>
      <c r="D53" s="13">
        <v>386</v>
      </c>
      <c r="E53" s="13">
        <v>310</v>
      </c>
      <c r="F53" s="18">
        <f>386-80-16</f>
        <v>290</v>
      </c>
      <c r="G53" s="18">
        <v>0</v>
      </c>
      <c r="H53" s="18">
        <v>0</v>
      </c>
      <c r="I53" s="18">
        <v>0</v>
      </c>
      <c r="J53" s="13">
        <v>0</v>
      </c>
      <c r="K53" s="13">
        <v>0</v>
      </c>
      <c r="L53" s="13">
        <v>0</v>
      </c>
    </row>
    <row r="54" spans="1:12" ht="46.95" customHeight="1" x14ac:dyDescent="0.25">
      <c r="A54" s="35"/>
      <c r="B54" s="35"/>
      <c r="C54" s="1" t="s">
        <v>62</v>
      </c>
      <c r="D54" s="13"/>
      <c r="E54" s="13"/>
      <c r="F54" s="18"/>
      <c r="G54" s="18"/>
      <c r="H54" s="18"/>
      <c r="I54" s="18"/>
      <c r="J54" s="13"/>
      <c r="K54" s="13"/>
      <c r="L54" s="13"/>
    </row>
    <row r="55" spans="1:12" x14ac:dyDescent="0.25">
      <c r="A55" s="33" t="s">
        <v>71</v>
      </c>
      <c r="B55" s="33" t="s">
        <v>10</v>
      </c>
      <c r="C55" s="1" t="s">
        <v>60</v>
      </c>
      <c r="D55" s="13">
        <f>SUM(D56:D57)</f>
        <v>1994.664</v>
      </c>
      <c r="E55" s="13">
        <f t="shared" ref="E55:J55" si="41">SUM(E56:E57)</f>
        <v>0</v>
      </c>
      <c r="F55" s="18">
        <f t="shared" si="41"/>
        <v>0</v>
      </c>
      <c r="G55" s="18">
        <f t="shared" si="41"/>
        <v>0</v>
      </c>
      <c r="H55" s="18">
        <f t="shared" si="41"/>
        <v>0</v>
      </c>
      <c r="I55" s="18">
        <f t="shared" si="41"/>
        <v>0</v>
      </c>
      <c r="J55" s="13">
        <f t="shared" si="41"/>
        <v>0</v>
      </c>
      <c r="K55" s="13">
        <f t="shared" ref="K55:L55" si="42">SUM(K56:K57)</f>
        <v>0</v>
      </c>
      <c r="L55" s="13">
        <f t="shared" si="42"/>
        <v>0</v>
      </c>
    </row>
    <row r="56" spans="1:12" x14ac:dyDescent="0.25">
      <c r="A56" s="34"/>
      <c r="B56" s="34"/>
      <c r="C56" s="1" t="s">
        <v>61</v>
      </c>
      <c r="D56" s="13">
        <v>1994.664</v>
      </c>
      <c r="E56" s="13">
        <v>0</v>
      </c>
      <c r="F56" s="18">
        <v>0</v>
      </c>
      <c r="G56" s="18">
        <v>0</v>
      </c>
      <c r="H56" s="18">
        <v>0</v>
      </c>
      <c r="I56" s="18">
        <v>0</v>
      </c>
      <c r="J56" s="13">
        <v>0</v>
      </c>
      <c r="K56" s="13">
        <v>0</v>
      </c>
      <c r="L56" s="13">
        <v>0</v>
      </c>
    </row>
    <row r="57" spans="1:12" ht="15" customHeight="1" x14ac:dyDescent="0.25">
      <c r="A57" s="35"/>
      <c r="B57" s="35"/>
      <c r="C57" s="1" t="s">
        <v>62</v>
      </c>
      <c r="D57" s="13"/>
      <c r="E57" s="13"/>
      <c r="F57" s="18"/>
      <c r="G57" s="18"/>
      <c r="H57" s="18"/>
      <c r="I57" s="18"/>
      <c r="J57" s="13"/>
      <c r="K57" s="13"/>
      <c r="L57" s="13"/>
    </row>
    <row r="58" spans="1:12" x14ac:dyDescent="0.25">
      <c r="A58" s="33" t="s">
        <v>72</v>
      </c>
      <c r="B58" s="33" t="s">
        <v>16</v>
      </c>
      <c r="C58" s="1" t="s">
        <v>60</v>
      </c>
      <c r="D58" s="13">
        <f>SUM(D59:D60)</f>
        <v>510.81200000000001</v>
      </c>
      <c r="E58" s="13">
        <f t="shared" ref="E58:J58" si="43">SUM(E59:E60)</f>
        <v>117.4</v>
      </c>
      <c r="F58" s="18">
        <f t="shared" si="43"/>
        <v>1293.548</v>
      </c>
      <c r="G58" s="18">
        <f t="shared" si="43"/>
        <v>398.27199999999999</v>
      </c>
      <c r="H58" s="18">
        <f t="shared" si="43"/>
        <v>654.37400000000002</v>
      </c>
      <c r="I58" s="18">
        <f t="shared" si="43"/>
        <v>0</v>
      </c>
      <c r="J58" s="13">
        <f t="shared" si="43"/>
        <v>0</v>
      </c>
      <c r="K58" s="13">
        <f t="shared" ref="K58:L58" si="44">SUM(K59:K60)</f>
        <v>0</v>
      </c>
      <c r="L58" s="13">
        <f t="shared" si="44"/>
        <v>0</v>
      </c>
    </row>
    <row r="59" spans="1:12" x14ac:dyDescent="0.25">
      <c r="A59" s="34"/>
      <c r="B59" s="34"/>
      <c r="C59" s="1" t="s">
        <v>61</v>
      </c>
      <c r="D59" s="13">
        <v>510.81200000000001</v>
      </c>
      <c r="E59" s="13">
        <v>117.4</v>
      </c>
      <c r="F59" s="18">
        <f>1293.548</f>
        <v>1293.548</v>
      </c>
      <c r="G59" s="18">
        <f>86.7+91.3+48.864+183.7-20+7.708</f>
        <v>398.27199999999999</v>
      </c>
      <c r="H59" s="18">
        <f>654.374</f>
        <v>654.37400000000002</v>
      </c>
      <c r="I59" s="18">
        <v>0</v>
      </c>
      <c r="J59" s="13">
        <v>0</v>
      </c>
      <c r="K59" s="13">
        <v>0</v>
      </c>
      <c r="L59" s="13">
        <v>0</v>
      </c>
    </row>
    <row r="60" spans="1:12" ht="18.75" customHeight="1" x14ac:dyDescent="0.25">
      <c r="A60" s="35"/>
      <c r="B60" s="35"/>
      <c r="C60" s="1" t="s">
        <v>62</v>
      </c>
      <c r="D60" s="13"/>
      <c r="E60" s="13"/>
      <c r="F60" s="18"/>
      <c r="G60" s="18"/>
      <c r="H60" s="18"/>
      <c r="I60" s="18"/>
      <c r="J60" s="13"/>
      <c r="K60" s="13"/>
      <c r="L60" s="13"/>
    </row>
    <row r="61" spans="1:12" x14ac:dyDescent="0.25">
      <c r="A61" s="33" t="s">
        <v>73</v>
      </c>
      <c r="B61" s="33" t="s">
        <v>17</v>
      </c>
      <c r="C61" s="1" t="s">
        <v>60</v>
      </c>
      <c r="D61" s="13">
        <f>SUM(D62:D63)</f>
        <v>0</v>
      </c>
      <c r="E61" s="13">
        <f t="shared" ref="E61:J61" si="45">SUM(E62:E63)</f>
        <v>87.034999999999997</v>
      </c>
      <c r="F61" s="18">
        <f t="shared" si="45"/>
        <v>103.864</v>
      </c>
      <c r="G61" s="18">
        <f t="shared" si="45"/>
        <v>100.211</v>
      </c>
      <c r="H61" s="18">
        <f t="shared" si="45"/>
        <v>101.11</v>
      </c>
      <c r="I61" s="18">
        <f t="shared" si="45"/>
        <v>93.8</v>
      </c>
      <c r="J61" s="13">
        <f t="shared" si="45"/>
        <v>94.8</v>
      </c>
      <c r="K61" s="13">
        <f t="shared" ref="K61:L61" si="46">SUM(K62:K63)</f>
        <v>93.8</v>
      </c>
      <c r="L61" s="13">
        <f t="shared" si="46"/>
        <v>93.8</v>
      </c>
    </row>
    <row r="62" spans="1:12" x14ac:dyDescent="0.25">
      <c r="A62" s="34"/>
      <c r="B62" s="34"/>
      <c r="C62" s="1" t="s">
        <v>61</v>
      </c>
      <c r="D62" s="13">
        <v>0</v>
      </c>
      <c r="E62" s="13">
        <v>87.034999999999997</v>
      </c>
      <c r="F62" s="18">
        <f>103.864</f>
        <v>103.864</v>
      </c>
      <c r="G62" s="18">
        <v>100.211</v>
      </c>
      <c r="H62" s="18">
        <f>106.6-5.49</f>
        <v>101.11</v>
      </c>
      <c r="I62" s="18">
        <f>103.2-10.48+1.08</f>
        <v>93.8</v>
      </c>
      <c r="J62" s="13">
        <f>93.8+1</f>
        <v>94.8</v>
      </c>
      <c r="K62" s="13">
        <v>93.8</v>
      </c>
      <c r="L62" s="13">
        <v>93.8</v>
      </c>
    </row>
    <row r="63" spans="1:12" ht="16.5" customHeight="1" x14ac:dyDescent="0.25">
      <c r="A63" s="35"/>
      <c r="B63" s="35"/>
      <c r="C63" s="1" t="s">
        <v>62</v>
      </c>
      <c r="D63" s="13"/>
      <c r="E63" s="13"/>
      <c r="F63" s="18"/>
      <c r="G63" s="18"/>
      <c r="H63" s="18"/>
      <c r="I63" s="18"/>
      <c r="J63" s="13"/>
      <c r="K63" s="13"/>
      <c r="L63" s="13"/>
    </row>
    <row r="64" spans="1:12" x14ac:dyDescent="0.25">
      <c r="A64" s="33" t="s">
        <v>107</v>
      </c>
      <c r="B64" s="33" t="s">
        <v>109</v>
      </c>
      <c r="C64" s="1" t="s">
        <v>60</v>
      </c>
      <c r="D64" s="13">
        <f>SUM(D65:D66)</f>
        <v>0</v>
      </c>
      <c r="E64" s="13">
        <f t="shared" ref="E64:J64" si="47">SUM(E65:E66)</f>
        <v>0</v>
      </c>
      <c r="F64" s="18">
        <f t="shared" si="47"/>
        <v>330</v>
      </c>
      <c r="G64" s="18">
        <f t="shared" si="47"/>
        <v>0</v>
      </c>
      <c r="H64" s="18">
        <f t="shared" si="47"/>
        <v>0</v>
      </c>
      <c r="I64" s="18">
        <f t="shared" si="47"/>
        <v>0</v>
      </c>
      <c r="J64" s="13">
        <f t="shared" si="47"/>
        <v>0</v>
      </c>
      <c r="K64" s="13">
        <f t="shared" ref="K64:L64" si="48">SUM(K65:K66)</f>
        <v>0</v>
      </c>
      <c r="L64" s="13">
        <f t="shared" si="48"/>
        <v>0</v>
      </c>
    </row>
    <row r="65" spans="1:12" x14ac:dyDescent="0.25">
      <c r="A65" s="34"/>
      <c r="B65" s="34"/>
      <c r="C65" s="1" t="s">
        <v>61</v>
      </c>
      <c r="D65" s="13">
        <v>0</v>
      </c>
      <c r="E65" s="13">
        <v>0</v>
      </c>
      <c r="F65" s="18">
        <v>330</v>
      </c>
      <c r="G65" s="18">
        <v>0</v>
      </c>
      <c r="H65" s="18">
        <v>0</v>
      </c>
      <c r="I65" s="18">
        <v>0</v>
      </c>
      <c r="J65" s="13">
        <v>0</v>
      </c>
      <c r="K65" s="13">
        <v>0</v>
      </c>
      <c r="L65" s="13">
        <v>0</v>
      </c>
    </row>
    <row r="66" spans="1:12" x14ac:dyDescent="0.25">
      <c r="A66" s="35"/>
      <c r="B66" s="35"/>
      <c r="C66" s="1" t="s">
        <v>62</v>
      </c>
      <c r="D66" s="13"/>
      <c r="E66" s="13"/>
      <c r="F66" s="18"/>
      <c r="G66" s="18"/>
      <c r="H66" s="18"/>
      <c r="I66" s="18"/>
      <c r="J66" s="13"/>
      <c r="K66" s="13"/>
      <c r="L66" s="13"/>
    </row>
    <row r="67" spans="1:12" x14ac:dyDescent="0.25">
      <c r="A67" s="33" t="s">
        <v>121</v>
      </c>
      <c r="B67" s="33" t="s">
        <v>122</v>
      </c>
      <c r="C67" s="1" t="s">
        <v>60</v>
      </c>
      <c r="D67" s="13">
        <f>SUM(D68:D69)</f>
        <v>0</v>
      </c>
      <c r="E67" s="13">
        <f t="shared" ref="E67:J67" si="49">SUM(E68:E69)</f>
        <v>0</v>
      </c>
      <c r="F67" s="18">
        <f t="shared" si="49"/>
        <v>0</v>
      </c>
      <c r="G67" s="18">
        <f t="shared" si="49"/>
        <v>2500</v>
      </c>
      <c r="H67" s="18">
        <f t="shared" si="49"/>
        <v>0</v>
      </c>
      <c r="I67" s="18">
        <f t="shared" si="49"/>
        <v>0</v>
      </c>
      <c r="J67" s="13">
        <f t="shared" si="49"/>
        <v>0</v>
      </c>
      <c r="K67" s="13">
        <f t="shared" ref="K67:L67" si="50">SUM(K68:K69)</f>
        <v>0</v>
      </c>
      <c r="L67" s="13">
        <f t="shared" si="50"/>
        <v>0</v>
      </c>
    </row>
    <row r="68" spans="1:12" x14ac:dyDescent="0.25">
      <c r="A68" s="34"/>
      <c r="B68" s="34"/>
      <c r="C68" s="1" t="s">
        <v>61</v>
      </c>
      <c r="D68" s="13">
        <v>0</v>
      </c>
      <c r="E68" s="13">
        <v>0</v>
      </c>
      <c r="F68" s="18">
        <v>0</v>
      </c>
      <c r="G68" s="18">
        <f>1000+1500</f>
        <v>2500</v>
      </c>
      <c r="H68" s="18">
        <v>0</v>
      </c>
      <c r="I68" s="18">
        <v>0</v>
      </c>
      <c r="J68" s="13">
        <v>0</v>
      </c>
      <c r="K68" s="13">
        <v>0</v>
      </c>
      <c r="L68" s="13">
        <v>0</v>
      </c>
    </row>
    <row r="69" spans="1:12" ht="17.25" customHeight="1" x14ac:dyDescent="0.25">
      <c r="A69" s="35"/>
      <c r="B69" s="35"/>
      <c r="C69" s="1" t="s">
        <v>62</v>
      </c>
      <c r="D69" s="13"/>
      <c r="E69" s="13"/>
      <c r="F69" s="18"/>
      <c r="G69" s="18"/>
      <c r="H69" s="18"/>
      <c r="I69" s="18"/>
      <c r="J69" s="13"/>
      <c r="K69" s="13"/>
      <c r="L69" s="13"/>
    </row>
    <row r="70" spans="1:12" ht="18.75" customHeight="1" x14ac:dyDescent="0.25">
      <c r="A70" s="33" t="s">
        <v>148</v>
      </c>
      <c r="B70" s="33" t="s">
        <v>146</v>
      </c>
      <c r="C70" s="1" t="s">
        <v>60</v>
      </c>
      <c r="D70" s="13">
        <f>SUM(D71:D72)</f>
        <v>0</v>
      </c>
      <c r="E70" s="13">
        <f t="shared" ref="E70:J70" si="51">SUM(E71:E72)</f>
        <v>0</v>
      </c>
      <c r="F70" s="18">
        <f t="shared" si="51"/>
        <v>0</v>
      </c>
      <c r="G70" s="18">
        <f t="shared" si="51"/>
        <v>0</v>
      </c>
      <c r="H70" s="18">
        <f t="shared" si="51"/>
        <v>0</v>
      </c>
      <c r="I70" s="18">
        <f t="shared" si="51"/>
        <v>0</v>
      </c>
      <c r="J70" s="13">
        <f t="shared" si="51"/>
        <v>66.667000000000002</v>
      </c>
      <c r="K70" s="13">
        <f t="shared" ref="K70:L70" si="52">SUM(K71:K72)</f>
        <v>0</v>
      </c>
      <c r="L70" s="13">
        <f t="shared" si="52"/>
        <v>0</v>
      </c>
    </row>
    <row r="71" spans="1:12" ht="18.75" customHeight="1" x14ac:dyDescent="0.25">
      <c r="A71" s="34"/>
      <c r="B71" s="34"/>
      <c r="C71" s="1" t="s">
        <v>61</v>
      </c>
      <c r="D71" s="13">
        <v>0</v>
      </c>
      <c r="E71" s="13">
        <v>0</v>
      </c>
      <c r="F71" s="18">
        <v>0</v>
      </c>
      <c r="G71" s="18">
        <v>0</v>
      </c>
      <c r="H71" s="18">
        <v>0</v>
      </c>
      <c r="I71" s="18">
        <v>0</v>
      </c>
      <c r="J71" s="13">
        <v>66.667000000000002</v>
      </c>
      <c r="K71" s="13">
        <v>0</v>
      </c>
      <c r="L71" s="13">
        <v>0</v>
      </c>
    </row>
    <row r="72" spans="1:12" ht="18.75" customHeight="1" x14ac:dyDescent="0.25">
      <c r="A72" s="35"/>
      <c r="B72" s="35"/>
      <c r="C72" s="1" t="s">
        <v>62</v>
      </c>
      <c r="D72" s="13"/>
      <c r="E72" s="13"/>
      <c r="F72" s="18"/>
      <c r="G72" s="18"/>
      <c r="H72" s="18"/>
      <c r="I72" s="78"/>
      <c r="J72" s="13"/>
      <c r="K72" s="13"/>
      <c r="L72" s="13"/>
    </row>
    <row r="73" spans="1:12" ht="13.95" customHeight="1" x14ac:dyDescent="0.25">
      <c r="A73" s="41" t="s">
        <v>18</v>
      </c>
      <c r="B73" s="41" t="s">
        <v>19</v>
      </c>
      <c r="C73" s="28" t="s">
        <v>60</v>
      </c>
      <c r="D73" s="15">
        <f>SUM(D74:D76)</f>
        <v>204702.54200000002</v>
      </c>
      <c r="E73" s="15">
        <f t="shared" ref="E73:J73" si="53">SUM(E74:E76)</f>
        <v>227518.5</v>
      </c>
      <c r="F73" s="15">
        <f t="shared" si="53"/>
        <v>203219.23799999998</v>
      </c>
      <c r="G73" s="15">
        <f t="shared" si="53"/>
        <v>219332.45199999999</v>
      </c>
      <c r="H73" s="15">
        <f t="shared" si="53"/>
        <v>228707.89600000001</v>
      </c>
      <c r="I73" s="19">
        <f t="shared" si="53"/>
        <v>226761.378</v>
      </c>
      <c r="J73" s="15">
        <f t="shared" si="53"/>
        <v>232476.35099999997</v>
      </c>
      <c r="K73" s="15">
        <f t="shared" ref="K73:L73" si="54">SUM(K74:K76)</f>
        <v>223856.62600000002</v>
      </c>
      <c r="L73" s="15">
        <f t="shared" si="54"/>
        <v>225728.56399999998</v>
      </c>
    </row>
    <row r="74" spans="1:12" x14ac:dyDescent="0.25">
      <c r="A74" s="42"/>
      <c r="B74" s="42"/>
      <c r="C74" s="28" t="s">
        <v>61</v>
      </c>
      <c r="D74" s="15">
        <f>D78+D81+D90+D93+D96+D99+D108+D111+D114+D117+D120+D123+D126+D129+D132+D135+D138+D141+D145+D148+D151+D154+D157+D105+D163+D166+D160</f>
        <v>55965.127000000008</v>
      </c>
      <c r="E74" s="15">
        <f t="shared" ref="E74:L74" si="55">E78+E81+E90+E93+E96+E99+E108+E111+E114+E117+E120+E123+E126+E129+E132+E135+E138+E141+E145+E148+E151+E154+E157+E105+E163+E166+E160</f>
        <v>58613.973000000005</v>
      </c>
      <c r="F74" s="15">
        <f t="shared" si="55"/>
        <v>54242.766000000003</v>
      </c>
      <c r="G74" s="15">
        <f t="shared" si="55"/>
        <v>71397.002000000008</v>
      </c>
      <c r="H74" s="15">
        <f t="shared" si="55"/>
        <v>51832.096000000005</v>
      </c>
      <c r="I74" s="15">
        <f>I78+I81+I84+I87+I90+I93+I96+I99+I102+I105+I108+I111+I114+I117+I120+I123+I126+I129+I132+I135+I138+I141+I145+I148+I151+I154+I157+I160+I163+I166</f>
        <v>41672.167000000009</v>
      </c>
      <c r="J74" s="15">
        <f t="shared" si="55"/>
        <v>52836.72099999999</v>
      </c>
      <c r="K74" s="15">
        <f t="shared" si="55"/>
        <v>42127.396000000001</v>
      </c>
      <c r="L74" s="15">
        <f t="shared" si="55"/>
        <v>31730.934000000001</v>
      </c>
    </row>
    <row r="75" spans="1:12" ht="16.95" customHeight="1" x14ac:dyDescent="0.25">
      <c r="A75" s="42"/>
      <c r="B75" s="42"/>
      <c r="C75" s="28" t="s">
        <v>62</v>
      </c>
      <c r="D75" s="15">
        <f>D79+D82+D91+D94+D97+D100+D109+D112+D115+D118+D121+D124+D127+D130+D133+D136+D139+D142+D146+D149+D155+D158+D106+D161</f>
        <v>148737.41500000001</v>
      </c>
      <c r="E75" s="15">
        <f t="shared" ref="E75:L75" si="56">E79+E82+E91+E94+E97+E100+E109+E112+E115+E118+E121+E124+E127+E130+E133+E136+E139+E142+E146+E149+E155+E158+E106+E161</f>
        <v>168148.527</v>
      </c>
      <c r="F75" s="15">
        <f t="shared" si="56"/>
        <v>148976.47199999998</v>
      </c>
      <c r="G75" s="15">
        <f t="shared" si="56"/>
        <v>147935.44999999998</v>
      </c>
      <c r="H75" s="15">
        <f t="shared" si="56"/>
        <v>176875.80000000002</v>
      </c>
      <c r="I75" s="15">
        <f>I79+I82+I85+I88+I91+I94+I97+I100+I103+I106+I109+I112+I115+I118+I121+I124+I127+I130+I133+I136+I139+I142+I146+I149+I152+I155+I158+I161+I164+I167</f>
        <v>185089.21099999998</v>
      </c>
      <c r="J75" s="15">
        <f t="shared" si="56"/>
        <v>179639.62999999998</v>
      </c>
      <c r="K75" s="15">
        <f t="shared" si="56"/>
        <v>181729.23</v>
      </c>
      <c r="L75" s="15">
        <f t="shared" si="56"/>
        <v>193997.62999999998</v>
      </c>
    </row>
    <row r="76" spans="1:12" s="21" customFormat="1" x14ac:dyDescent="0.25">
      <c r="A76" s="43"/>
      <c r="B76" s="43"/>
      <c r="C76" s="30" t="s">
        <v>133</v>
      </c>
      <c r="D76" s="19">
        <f>D143</f>
        <v>0</v>
      </c>
      <c r="E76" s="19">
        <f t="shared" ref="E76:J76" si="57">E143</f>
        <v>756</v>
      </c>
      <c r="F76" s="19">
        <f t="shared" si="57"/>
        <v>0</v>
      </c>
      <c r="G76" s="19">
        <f t="shared" si="57"/>
        <v>0</v>
      </c>
      <c r="H76" s="19">
        <f t="shared" si="57"/>
        <v>0</v>
      </c>
      <c r="I76" s="19">
        <f t="shared" si="57"/>
        <v>0</v>
      </c>
      <c r="J76" s="19">
        <f t="shared" si="57"/>
        <v>0</v>
      </c>
      <c r="K76" s="19">
        <f t="shared" ref="K76:L76" si="58">K143</f>
        <v>0</v>
      </c>
      <c r="L76" s="19">
        <f t="shared" si="58"/>
        <v>0</v>
      </c>
    </row>
    <row r="77" spans="1:12" ht="19.2" customHeight="1" x14ac:dyDescent="0.25">
      <c r="A77" s="50" t="s">
        <v>74</v>
      </c>
      <c r="B77" s="33" t="s">
        <v>20</v>
      </c>
      <c r="C77" s="1" t="s">
        <v>60</v>
      </c>
      <c r="D77" s="13">
        <f>SUM(D78:D79)</f>
        <v>42550.025999999998</v>
      </c>
      <c r="E77" s="13">
        <f t="shared" ref="E77:J77" si="59">SUM(E78:E79)</f>
        <v>38472.796999999999</v>
      </c>
      <c r="F77" s="18">
        <f t="shared" si="59"/>
        <v>47329.332999999999</v>
      </c>
      <c r="G77" s="18">
        <f t="shared" si="59"/>
        <v>59074.79</v>
      </c>
      <c r="H77" s="18">
        <f t="shared" si="59"/>
        <v>43904.408000000003</v>
      </c>
      <c r="I77" s="18">
        <f t="shared" si="59"/>
        <v>37068.934000000008</v>
      </c>
      <c r="J77" s="13">
        <f t="shared" si="59"/>
        <v>41762.337</v>
      </c>
      <c r="K77" s="13">
        <f t="shared" ref="K77:L77" si="60">SUM(K78:K79)</f>
        <v>41213.271000000001</v>
      </c>
      <c r="L77" s="13">
        <f t="shared" si="60"/>
        <v>31213.271000000001</v>
      </c>
    </row>
    <row r="78" spans="1:12" ht="19.2" customHeight="1" x14ac:dyDescent="0.25">
      <c r="A78" s="51"/>
      <c r="B78" s="34"/>
      <c r="C78" s="1" t="s">
        <v>61</v>
      </c>
      <c r="D78" s="13">
        <v>42550.025999999998</v>
      </c>
      <c r="E78" s="13">
        <v>38472.796999999999</v>
      </c>
      <c r="F78" s="18">
        <v>47329.332999999999</v>
      </c>
      <c r="G78" s="18">
        <f>41455.89+857.2+5115.523-74.6-30-108.119-2320.56+445.004+13734.452</f>
        <v>59074.79</v>
      </c>
      <c r="H78" s="18">
        <v>43904.408000000003</v>
      </c>
      <c r="I78" s="18">
        <f>43337.61-95.969-149.215-3.492-6020</f>
        <v>37068.934000000008</v>
      </c>
      <c r="J78" s="13">
        <f>41213.271+549.066</f>
        <v>41762.337</v>
      </c>
      <c r="K78" s="13">
        <v>41213.271000000001</v>
      </c>
      <c r="L78" s="13">
        <v>31213.271000000001</v>
      </c>
    </row>
    <row r="79" spans="1:12" ht="26.25" customHeight="1" x14ac:dyDescent="0.25">
      <c r="A79" s="51"/>
      <c r="B79" s="35"/>
      <c r="C79" s="1" t="s">
        <v>62</v>
      </c>
      <c r="D79" s="13"/>
      <c r="E79" s="13"/>
      <c r="F79" s="18"/>
      <c r="G79" s="18"/>
      <c r="H79" s="18"/>
      <c r="I79" s="18"/>
      <c r="J79" s="13"/>
      <c r="K79" s="13"/>
      <c r="L79" s="13"/>
    </row>
    <row r="80" spans="1:12" ht="25.2" customHeight="1" x14ac:dyDescent="0.25">
      <c r="A80" s="51"/>
      <c r="B80" s="33" t="s">
        <v>21</v>
      </c>
      <c r="C80" s="1" t="s">
        <v>60</v>
      </c>
      <c r="D80" s="13">
        <f>SUM(D81:D82)</f>
        <v>141469.29999999999</v>
      </c>
      <c r="E80" s="13">
        <f t="shared" ref="E80:J80" si="61">SUM(E81:E82)</f>
        <v>149482.427</v>
      </c>
      <c r="F80" s="18">
        <f t="shared" si="61"/>
        <v>142133.57199999999</v>
      </c>
      <c r="G80" s="18">
        <f t="shared" si="61"/>
        <v>140994.94999999998</v>
      </c>
      <c r="H80" s="18">
        <f t="shared" si="61"/>
        <v>169996.1</v>
      </c>
      <c r="I80" s="18">
        <f>SUM(I81:I82)</f>
        <v>162476.231</v>
      </c>
      <c r="J80" s="13">
        <f t="shared" si="61"/>
        <v>164949.13</v>
      </c>
      <c r="K80" s="13">
        <f t="shared" ref="K80:L80" si="62">SUM(K81:K82)</f>
        <v>172371.03</v>
      </c>
      <c r="L80" s="13">
        <f t="shared" si="62"/>
        <v>184254.33</v>
      </c>
    </row>
    <row r="81" spans="1:12" ht="25.2" customHeight="1" x14ac:dyDescent="0.25">
      <c r="A81" s="51"/>
      <c r="B81" s="34"/>
      <c r="C81" s="1" t="s">
        <v>61</v>
      </c>
      <c r="D81" s="13"/>
      <c r="E81" s="13"/>
      <c r="F81" s="18"/>
      <c r="G81" s="18"/>
      <c r="H81" s="18"/>
      <c r="I81" s="18"/>
      <c r="J81" s="13"/>
      <c r="K81" s="13"/>
      <c r="L81" s="13"/>
    </row>
    <row r="82" spans="1:12" ht="25.2" customHeight="1" x14ac:dyDescent="0.25">
      <c r="A82" s="51"/>
      <c r="B82" s="35"/>
      <c r="C82" s="1" t="s">
        <v>62</v>
      </c>
      <c r="D82" s="13">
        <v>141469.29999999999</v>
      </c>
      <c r="E82" s="13">
        <v>149482.427</v>
      </c>
      <c r="F82" s="18">
        <v>142133.57199999999</v>
      </c>
      <c r="G82" s="18">
        <f>139751.8-256.85+1500</f>
        <v>140994.94999999998</v>
      </c>
      <c r="H82" s="18">
        <f>170279.6-283.5</f>
        <v>169996.1</v>
      </c>
      <c r="I82" s="18">
        <f>165643.06+1214.6-4381.429</f>
        <v>162476.231</v>
      </c>
      <c r="J82" s="13">
        <v>164949.13</v>
      </c>
      <c r="K82" s="13">
        <v>172371.03</v>
      </c>
      <c r="L82" s="13">
        <v>184254.33</v>
      </c>
    </row>
    <row r="83" spans="1:12" ht="25.2" customHeight="1" x14ac:dyDescent="0.25">
      <c r="A83" s="51"/>
      <c r="B83" s="33" t="s">
        <v>130</v>
      </c>
      <c r="C83" s="1" t="s">
        <v>60</v>
      </c>
      <c r="D83" s="13">
        <f>SUM(D84:D85)</f>
        <v>0</v>
      </c>
      <c r="E83" s="13">
        <f t="shared" ref="E83:J83" si="63">SUM(E84:E85)</f>
        <v>0</v>
      </c>
      <c r="F83" s="18">
        <f t="shared" si="63"/>
        <v>0</v>
      </c>
      <c r="G83" s="18">
        <f t="shared" si="63"/>
        <v>0</v>
      </c>
      <c r="H83" s="18">
        <f t="shared" si="63"/>
        <v>0</v>
      </c>
      <c r="I83" s="18">
        <f t="shared" si="63"/>
        <v>80.161000000000001</v>
      </c>
      <c r="J83" s="13">
        <f t="shared" si="63"/>
        <v>0</v>
      </c>
      <c r="K83" s="13">
        <f t="shared" ref="K83:L83" si="64">SUM(K84:K85)</f>
        <v>0</v>
      </c>
      <c r="L83" s="13">
        <f t="shared" si="64"/>
        <v>0</v>
      </c>
    </row>
    <row r="84" spans="1:12" ht="25.2" customHeight="1" x14ac:dyDescent="0.25">
      <c r="A84" s="51"/>
      <c r="B84" s="34"/>
      <c r="C84" s="1" t="s">
        <v>61</v>
      </c>
      <c r="D84" s="13"/>
      <c r="E84" s="13"/>
      <c r="F84" s="18"/>
      <c r="G84" s="18"/>
      <c r="H84" s="18"/>
      <c r="I84" s="18">
        <v>40.081000000000003</v>
      </c>
      <c r="J84" s="13"/>
      <c r="K84" s="13"/>
      <c r="L84" s="13"/>
    </row>
    <row r="85" spans="1:12" ht="25.2" customHeight="1" x14ac:dyDescent="0.25">
      <c r="A85" s="51"/>
      <c r="B85" s="35"/>
      <c r="C85" s="1" t="s">
        <v>62</v>
      </c>
      <c r="D85" s="13"/>
      <c r="E85" s="13"/>
      <c r="F85" s="18"/>
      <c r="G85" s="18"/>
      <c r="H85" s="18"/>
      <c r="I85" s="18">
        <v>40.08</v>
      </c>
      <c r="J85" s="13"/>
      <c r="K85" s="13"/>
      <c r="L85" s="13"/>
    </row>
    <row r="86" spans="1:12" ht="25.2" customHeight="1" x14ac:dyDescent="0.25">
      <c r="A86" s="51"/>
      <c r="B86" s="47" t="s">
        <v>136</v>
      </c>
      <c r="C86" s="22" t="s">
        <v>60</v>
      </c>
      <c r="D86" s="18">
        <f>SUM(D87:D88)</f>
        <v>0</v>
      </c>
      <c r="E86" s="18">
        <f t="shared" ref="E86:J86" si="65">SUM(E87:E88)</f>
        <v>0</v>
      </c>
      <c r="F86" s="18">
        <f t="shared" si="65"/>
        <v>0</v>
      </c>
      <c r="G86" s="18">
        <f t="shared" si="65"/>
        <v>0</v>
      </c>
      <c r="H86" s="18">
        <f t="shared" si="65"/>
        <v>0</v>
      </c>
      <c r="I86" s="18">
        <f t="shared" si="65"/>
        <v>13978.383</v>
      </c>
      <c r="J86" s="18">
        <f t="shared" si="65"/>
        <v>0</v>
      </c>
      <c r="K86" s="18">
        <f t="shared" ref="K86:L86" si="66">SUM(K87:K88)</f>
        <v>0</v>
      </c>
      <c r="L86" s="18">
        <f t="shared" si="66"/>
        <v>0</v>
      </c>
    </row>
    <row r="87" spans="1:12" ht="25.2" customHeight="1" x14ac:dyDescent="0.25">
      <c r="A87" s="51"/>
      <c r="B87" s="48"/>
      <c r="C87" s="22" t="s">
        <v>61</v>
      </c>
      <c r="D87" s="18"/>
      <c r="E87" s="18"/>
      <c r="F87" s="18"/>
      <c r="G87" s="18"/>
      <c r="H87" s="18"/>
      <c r="I87" s="18">
        <f>133.208+6.575</f>
        <v>139.78299999999999</v>
      </c>
      <c r="J87" s="18"/>
      <c r="K87" s="18"/>
      <c r="L87" s="18"/>
    </row>
    <row r="88" spans="1:12" ht="25.2" customHeight="1" x14ac:dyDescent="0.25">
      <c r="A88" s="52"/>
      <c r="B88" s="49"/>
      <c r="C88" s="22" t="s">
        <v>62</v>
      </c>
      <c r="D88" s="18"/>
      <c r="E88" s="18"/>
      <c r="F88" s="18"/>
      <c r="G88" s="18"/>
      <c r="H88" s="18"/>
      <c r="I88" s="18">
        <f>13187.6+651</f>
        <v>13838.6</v>
      </c>
      <c r="J88" s="18"/>
      <c r="K88" s="18"/>
      <c r="L88" s="18"/>
    </row>
    <row r="89" spans="1:12" ht="46.95" customHeight="1" x14ac:dyDescent="0.25">
      <c r="A89" s="33" t="s">
        <v>75</v>
      </c>
      <c r="B89" s="33" t="s">
        <v>134</v>
      </c>
      <c r="C89" s="1" t="s">
        <v>60</v>
      </c>
      <c r="D89" s="13">
        <f>SUM(D90:D91)</f>
        <v>375.77600000000001</v>
      </c>
      <c r="E89" s="13">
        <f t="shared" ref="E89:J89" si="67">SUM(E90:E91)</f>
        <v>569</v>
      </c>
      <c r="F89" s="18">
        <f t="shared" si="67"/>
        <v>562.1</v>
      </c>
      <c r="G89" s="18">
        <f t="shared" si="67"/>
        <v>558.5</v>
      </c>
      <c r="H89" s="18">
        <f t="shared" si="67"/>
        <v>360</v>
      </c>
      <c r="I89" s="18">
        <f t="shared" si="67"/>
        <v>598</v>
      </c>
      <c r="J89" s="13">
        <f t="shared" si="67"/>
        <v>580.79999999999995</v>
      </c>
      <c r="K89" s="13">
        <f t="shared" ref="K89:L89" si="68">SUM(K90:K91)</f>
        <v>604.1</v>
      </c>
      <c r="L89" s="13">
        <f t="shared" si="68"/>
        <v>639</v>
      </c>
    </row>
    <row r="90" spans="1:12" ht="46.95" customHeight="1" x14ac:dyDescent="0.25">
      <c r="A90" s="34"/>
      <c r="B90" s="34"/>
      <c r="C90" s="1" t="s">
        <v>61</v>
      </c>
      <c r="D90" s="13"/>
      <c r="E90" s="13"/>
      <c r="F90" s="18"/>
      <c r="G90" s="18"/>
      <c r="H90" s="18"/>
      <c r="I90" s="18"/>
      <c r="J90" s="13"/>
      <c r="K90" s="13"/>
      <c r="L90" s="13"/>
    </row>
    <row r="91" spans="1:12" ht="42" customHeight="1" x14ac:dyDescent="0.25">
      <c r="A91" s="35"/>
      <c r="B91" s="35"/>
      <c r="C91" s="1" t="s">
        <v>62</v>
      </c>
      <c r="D91" s="13">
        <v>375.77600000000001</v>
      </c>
      <c r="E91" s="13">
        <v>569</v>
      </c>
      <c r="F91" s="18">
        <v>562.1</v>
      </c>
      <c r="G91" s="18">
        <v>558.5</v>
      </c>
      <c r="H91" s="18">
        <f>360</f>
        <v>360</v>
      </c>
      <c r="I91" s="18">
        <f>357+241</f>
        <v>598</v>
      </c>
      <c r="J91" s="13">
        <v>580.79999999999995</v>
      </c>
      <c r="K91" s="13">
        <v>604.1</v>
      </c>
      <c r="L91" s="13">
        <v>639</v>
      </c>
    </row>
    <row r="92" spans="1:12" x14ac:dyDescent="0.25">
      <c r="A92" s="33" t="s">
        <v>76</v>
      </c>
      <c r="B92" s="33" t="s">
        <v>17</v>
      </c>
      <c r="C92" s="1" t="s">
        <v>60</v>
      </c>
      <c r="D92" s="13">
        <f>SUM(D93:D94)</f>
        <v>1232.6320000000001</v>
      </c>
      <c r="E92" s="13">
        <f t="shared" ref="E92:J92" si="69">SUM(E93:E94)</f>
        <v>1180.22</v>
      </c>
      <c r="F92" s="18">
        <f t="shared" si="69"/>
        <v>1130.527</v>
      </c>
      <c r="G92" s="18">
        <f t="shared" si="69"/>
        <v>973.16700000000003</v>
      </c>
      <c r="H92" s="18">
        <f t="shared" si="69"/>
        <v>808.95800000000008</v>
      </c>
      <c r="I92" s="18">
        <f t="shared" si="69"/>
        <v>760.88600000000008</v>
      </c>
      <c r="J92" s="13">
        <f t="shared" si="69"/>
        <v>805.7</v>
      </c>
      <c r="K92" s="13">
        <f t="shared" ref="K92:L92" si="70">SUM(K93:K94)</f>
        <v>805.7</v>
      </c>
      <c r="L92" s="13">
        <f t="shared" si="70"/>
        <v>405.7</v>
      </c>
    </row>
    <row r="93" spans="1:12" x14ac:dyDescent="0.25">
      <c r="A93" s="34"/>
      <c r="B93" s="34"/>
      <c r="C93" s="1" t="s">
        <v>61</v>
      </c>
      <c r="D93" s="13">
        <v>1232.6320000000001</v>
      </c>
      <c r="E93" s="13">
        <v>1180.22</v>
      </c>
      <c r="F93" s="18">
        <v>1130.527</v>
      </c>
      <c r="G93" s="18">
        <v>973.16700000000003</v>
      </c>
      <c r="H93" s="18">
        <f>831.82-22.862</f>
        <v>808.95800000000008</v>
      </c>
      <c r="I93" s="18">
        <f>661+105.369-5.483</f>
        <v>760.88600000000008</v>
      </c>
      <c r="J93" s="13">
        <v>805.7</v>
      </c>
      <c r="K93" s="13">
        <v>805.7</v>
      </c>
      <c r="L93" s="13">
        <v>405.7</v>
      </c>
    </row>
    <row r="94" spans="1:12" ht="16.5" customHeight="1" x14ac:dyDescent="0.25">
      <c r="A94" s="35"/>
      <c r="B94" s="35"/>
      <c r="C94" s="1" t="s">
        <v>62</v>
      </c>
      <c r="D94" s="13"/>
      <c r="E94" s="13"/>
      <c r="F94" s="18"/>
      <c r="G94" s="18"/>
      <c r="H94" s="18"/>
      <c r="I94" s="18"/>
      <c r="J94" s="13"/>
      <c r="K94" s="13"/>
      <c r="L94" s="13"/>
    </row>
    <row r="95" spans="1:12" x14ac:dyDescent="0.25">
      <c r="A95" s="33" t="s">
        <v>77</v>
      </c>
      <c r="B95" s="33" t="s">
        <v>22</v>
      </c>
      <c r="C95" s="1" t="s">
        <v>60</v>
      </c>
      <c r="D95" s="13">
        <f>SUM(D96:D97)</f>
        <v>964.34900000000005</v>
      </c>
      <c r="E95" s="13">
        <f t="shared" ref="E95:J95" si="71">SUM(E96:E97)</f>
        <v>3377.9319999999998</v>
      </c>
      <c r="F95" s="18">
        <f t="shared" si="71"/>
        <v>1620.682</v>
      </c>
      <c r="G95" s="18">
        <f t="shared" si="71"/>
        <v>1436.838</v>
      </c>
      <c r="H95" s="18">
        <f t="shared" si="71"/>
        <v>2366.2179999999998</v>
      </c>
      <c r="I95" s="18">
        <f t="shared" si="71"/>
        <v>43</v>
      </c>
      <c r="J95" s="13">
        <f t="shared" si="71"/>
        <v>0</v>
      </c>
      <c r="K95" s="13">
        <f t="shared" ref="K95:L95" si="72">SUM(K96:K97)</f>
        <v>0</v>
      </c>
      <c r="L95" s="13">
        <f t="shared" si="72"/>
        <v>0</v>
      </c>
    </row>
    <row r="96" spans="1:12" x14ac:dyDescent="0.25">
      <c r="A96" s="34"/>
      <c r="B96" s="34"/>
      <c r="C96" s="1" t="s">
        <v>61</v>
      </c>
      <c r="D96" s="13">
        <v>964.34900000000005</v>
      </c>
      <c r="E96" s="13">
        <v>3377.9319999999998</v>
      </c>
      <c r="F96" s="18">
        <v>1620.682</v>
      </c>
      <c r="G96" s="18">
        <f>607.609+668.887-0.4+59.97+100.772</f>
        <v>1436.838</v>
      </c>
      <c r="H96" s="18">
        <f>2376.18-9.962</f>
        <v>2366.2179999999998</v>
      </c>
      <c r="I96" s="18">
        <f>33+10</f>
        <v>43</v>
      </c>
      <c r="J96" s="13"/>
      <c r="K96" s="13"/>
      <c r="L96" s="13"/>
    </row>
    <row r="97" spans="1:12" ht="15" customHeight="1" x14ac:dyDescent="0.25">
      <c r="A97" s="34"/>
      <c r="B97" s="35"/>
      <c r="C97" s="1" t="s">
        <v>62</v>
      </c>
      <c r="D97" s="13"/>
      <c r="E97" s="13"/>
      <c r="F97" s="18"/>
      <c r="G97" s="18"/>
      <c r="H97" s="18"/>
      <c r="I97" s="18"/>
      <c r="J97" s="13"/>
      <c r="K97" s="13"/>
      <c r="L97" s="13"/>
    </row>
    <row r="98" spans="1:12" ht="19.2" customHeight="1" x14ac:dyDescent="0.25">
      <c r="A98" s="34"/>
      <c r="B98" s="33" t="s">
        <v>23</v>
      </c>
      <c r="C98" s="1" t="s">
        <v>60</v>
      </c>
      <c r="D98" s="13">
        <f>SUM(D99:D100)</f>
        <v>0</v>
      </c>
      <c r="E98" s="13">
        <f t="shared" ref="E98:J98" si="73">SUM(E99:E100)</f>
        <v>11078</v>
      </c>
      <c r="F98" s="18">
        <f t="shared" si="73"/>
        <v>0</v>
      </c>
      <c r="G98" s="18">
        <f t="shared" si="73"/>
        <v>0</v>
      </c>
      <c r="H98" s="18">
        <f t="shared" si="73"/>
        <v>0</v>
      </c>
      <c r="I98" s="18">
        <f t="shared" si="73"/>
        <v>0</v>
      </c>
      <c r="J98" s="13">
        <f t="shared" si="73"/>
        <v>0</v>
      </c>
      <c r="K98" s="13">
        <f t="shared" ref="K98:L98" si="74">SUM(K99:K100)</f>
        <v>0</v>
      </c>
      <c r="L98" s="13">
        <f t="shared" si="74"/>
        <v>0</v>
      </c>
    </row>
    <row r="99" spans="1:12" ht="19.2" customHeight="1" x14ac:dyDescent="0.25">
      <c r="A99" s="34"/>
      <c r="B99" s="34"/>
      <c r="C99" s="1" t="s">
        <v>61</v>
      </c>
      <c r="D99" s="13"/>
      <c r="E99" s="13"/>
      <c r="F99" s="18"/>
      <c r="G99" s="18"/>
      <c r="H99" s="18"/>
      <c r="I99" s="18"/>
      <c r="J99" s="13"/>
      <c r="K99" s="13"/>
      <c r="L99" s="13"/>
    </row>
    <row r="100" spans="1:12" ht="27" customHeight="1" x14ac:dyDescent="0.25">
      <c r="A100" s="34"/>
      <c r="B100" s="35"/>
      <c r="C100" s="1" t="s">
        <v>62</v>
      </c>
      <c r="D100" s="13">
        <v>0</v>
      </c>
      <c r="E100" s="13">
        <v>11078</v>
      </c>
      <c r="F100" s="18">
        <v>0</v>
      </c>
      <c r="G100" s="18">
        <v>0</v>
      </c>
      <c r="H100" s="18">
        <v>0</v>
      </c>
      <c r="I100" s="18">
        <v>0</v>
      </c>
      <c r="J100" s="13">
        <v>0</v>
      </c>
      <c r="K100" s="13">
        <v>0</v>
      </c>
      <c r="L100" s="13">
        <v>0</v>
      </c>
    </row>
    <row r="101" spans="1:12" s="21" customFormat="1" ht="19.2" customHeight="1" x14ac:dyDescent="0.25">
      <c r="A101" s="34"/>
      <c r="B101" s="47" t="s">
        <v>126</v>
      </c>
      <c r="C101" s="22" t="s">
        <v>60</v>
      </c>
      <c r="D101" s="18">
        <f>SUM(D102:D103)</f>
        <v>0</v>
      </c>
      <c r="E101" s="18">
        <f t="shared" ref="E101:J101" si="75">SUM(E102:E103)</f>
        <v>0</v>
      </c>
      <c r="F101" s="18">
        <f t="shared" si="75"/>
        <v>0</v>
      </c>
      <c r="G101" s="18">
        <f t="shared" si="75"/>
        <v>0</v>
      </c>
      <c r="H101" s="18">
        <f t="shared" si="75"/>
        <v>0</v>
      </c>
      <c r="I101" s="18">
        <f t="shared" si="75"/>
        <v>0</v>
      </c>
      <c r="J101" s="18">
        <f t="shared" si="75"/>
        <v>0</v>
      </c>
      <c r="K101" s="18">
        <f t="shared" ref="K101:L101" si="76">SUM(K102:K103)</f>
        <v>0</v>
      </c>
      <c r="L101" s="18">
        <f t="shared" si="76"/>
        <v>0</v>
      </c>
    </row>
    <row r="102" spans="1:12" s="21" customFormat="1" ht="24" customHeight="1" x14ac:dyDescent="0.25">
      <c r="A102" s="34"/>
      <c r="B102" s="48"/>
      <c r="C102" s="22" t="s">
        <v>61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</row>
    <row r="103" spans="1:12" s="21" customFormat="1" ht="34.5" customHeight="1" x14ac:dyDescent="0.25">
      <c r="A103" s="34"/>
      <c r="B103" s="49"/>
      <c r="C103" s="22" t="s">
        <v>62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</row>
    <row r="104" spans="1:12" ht="23.7" customHeight="1" x14ac:dyDescent="0.25">
      <c r="A104" s="34"/>
      <c r="B104" s="44" t="s">
        <v>123</v>
      </c>
      <c r="C104" s="11" t="s">
        <v>60</v>
      </c>
      <c r="D104" s="14">
        <f>SUM(D105:D106)</f>
        <v>0</v>
      </c>
      <c r="E104" s="14">
        <f t="shared" ref="E104:J104" si="77">SUM(E105:E106)</f>
        <v>0</v>
      </c>
      <c r="F104" s="18">
        <f t="shared" si="77"/>
        <v>0</v>
      </c>
      <c r="G104" s="18">
        <f t="shared" si="77"/>
        <v>259.89999999999998</v>
      </c>
      <c r="H104" s="14">
        <f t="shared" si="77"/>
        <v>495.11199999999997</v>
      </c>
      <c r="I104" s="18">
        <f t="shared" si="77"/>
        <v>0</v>
      </c>
      <c r="J104" s="14">
        <f t="shared" si="77"/>
        <v>6324.7780000000002</v>
      </c>
      <c r="K104" s="14">
        <f t="shared" ref="K104:L104" si="78">SUM(K105:K106)</f>
        <v>0</v>
      </c>
      <c r="L104" s="14">
        <f t="shared" si="78"/>
        <v>0</v>
      </c>
    </row>
    <row r="105" spans="1:12" ht="23.7" customHeight="1" x14ac:dyDescent="0.25">
      <c r="A105" s="34"/>
      <c r="B105" s="45"/>
      <c r="C105" s="11" t="s">
        <v>61</v>
      </c>
      <c r="D105" s="14">
        <v>0</v>
      </c>
      <c r="E105" s="14">
        <v>0</v>
      </c>
      <c r="F105" s="18">
        <v>0</v>
      </c>
      <c r="G105" s="18">
        <v>26</v>
      </c>
      <c r="H105" s="14">
        <v>274.512</v>
      </c>
      <c r="I105" s="18">
        <v>0</v>
      </c>
      <c r="J105" s="14">
        <v>632.47799999999995</v>
      </c>
      <c r="K105" s="14">
        <v>0</v>
      </c>
      <c r="L105" s="14">
        <v>0</v>
      </c>
    </row>
    <row r="106" spans="1:12" ht="27.75" customHeight="1" x14ac:dyDescent="0.25">
      <c r="A106" s="34"/>
      <c r="B106" s="46"/>
      <c r="C106" s="11" t="s">
        <v>62</v>
      </c>
      <c r="D106" s="14">
        <v>0</v>
      </c>
      <c r="E106" s="14">
        <v>0</v>
      </c>
      <c r="F106" s="18">
        <v>0</v>
      </c>
      <c r="G106" s="18">
        <v>233.9</v>
      </c>
      <c r="H106" s="14">
        <v>220.6</v>
      </c>
      <c r="I106" s="18">
        <v>0</v>
      </c>
      <c r="J106" s="14">
        <v>5692.3</v>
      </c>
      <c r="K106" s="14">
        <v>0</v>
      </c>
      <c r="L106" s="14">
        <v>0</v>
      </c>
    </row>
    <row r="107" spans="1:12" x14ac:dyDescent="0.25">
      <c r="A107" s="33" t="s">
        <v>78</v>
      </c>
      <c r="B107" s="33" t="s">
        <v>24</v>
      </c>
      <c r="C107" s="1" t="s">
        <v>60</v>
      </c>
      <c r="D107" s="13">
        <f>SUM(D108:D109)</f>
        <v>6540.8950000000004</v>
      </c>
      <c r="E107" s="13">
        <f t="shared" ref="E107:J107" si="79">SUM(E108:E109)</f>
        <v>11784.134</v>
      </c>
      <c r="F107" s="18">
        <f t="shared" si="79"/>
        <v>1516.7429999999999</v>
      </c>
      <c r="G107" s="18">
        <f t="shared" si="79"/>
        <v>-1.5462631175466868E-13</v>
      </c>
      <c r="H107" s="18">
        <f t="shared" si="79"/>
        <v>495.78500000000003</v>
      </c>
      <c r="I107" s="18">
        <f t="shared" si="79"/>
        <v>0</v>
      </c>
      <c r="J107" s="13">
        <f t="shared" si="79"/>
        <v>0</v>
      </c>
      <c r="K107" s="13">
        <f t="shared" ref="K107:L107" si="80">SUM(K108:K109)</f>
        <v>0</v>
      </c>
      <c r="L107" s="13">
        <f t="shared" si="80"/>
        <v>0</v>
      </c>
    </row>
    <row r="108" spans="1:12" x14ac:dyDescent="0.25">
      <c r="A108" s="34"/>
      <c r="B108" s="34"/>
      <c r="C108" s="1" t="s">
        <v>61</v>
      </c>
      <c r="D108" s="13">
        <v>6540.8950000000004</v>
      </c>
      <c r="E108" s="13">
        <v>11784.134</v>
      </c>
      <c r="F108" s="18">
        <v>1516.7429999999999</v>
      </c>
      <c r="G108" s="18">
        <f>2341.1-1948.93-392-0.17</f>
        <v>-1.5462631175466868E-13</v>
      </c>
      <c r="H108" s="18">
        <f>499-3.215</f>
        <v>495.78500000000003</v>
      </c>
      <c r="I108" s="18">
        <v>0</v>
      </c>
      <c r="J108" s="13">
        <v>0</v>
      </c>
      <c r="K108" s="13">
        <v>0</v>
      </c>
      <c r="L108" s="13">
        <v>0</v>
      </c>
    </row>
    <row r="109" spans="1:12" ht="15" customHeight="1" x14ac:dyDescent="0.25">
      <c r="A109" s="35"/>
      <c r="B109" s="35"/>
      <c r="C109" s="1" t="s">
        <v>62</v>
      </c>
      <c r="D109" s="13"/>
      <c r="E109" s="13"/>
      <c r="F109" s="18"/>
      <c r="G109" s="18"/>
      <c r="H109" s="18"/>
      <c r="I109" s="18"/>
      <c r="J109" s="13"/>
      <c r="K109" s="13"/>
      <c r="L109" s="13"/>
    </row>
    <row r="110" spans="1:12" x14ac:dyDescent="0.25">
      <c r="A110" s="33" t="s">
        <v>79</v>
      </c>
      <c r="B110" s="33" t="s">
        <v>110</v>
      </c>
      <c r="C110" s="1" t="s">
        <v>60</v>
      </c>
      <c r="D110" s="13">
        <f>SUM(D111:D112)</f>
        <v>2868.4250000000002</v>
      </c>
      <c r="E110" s="13">
        <f t="shared" ref="E110:J110" si="81">SUM(E111:E112)</f>
        <v>1546.83</v>
      </c>
      <c r="F110" s="18">
        <f t="shared" si="81"/>
        <v>760.68100000000004</v>
      </c>
      <c r="G110" s="18">
        <f t="shared" si="81"/>
        <v>1619.2270000000001</v>
      </c>
      <c r="H110" s="18">
        <f t="shared" si="81"/>
        <v>1807.807</v>
      </c>
      <c r="I110" s="18">
        <f t="shared" si="81"/>
        <v>561.28300000000002</v>
      </c>
      <c r="J110" s="13">
        <f t="shared" si="81"/>
        <v>0</v>
      </c>
      <c r="K110" s="13">
        <f t="shared" ref="K110:L110" si="82">SUM(K111:K112)</f>
        <v>0</v>
      </c>
      <c r="L110" s="13">
        <f t="shared" si="82"/>
        <v>0</v>
      </c>
    </row>
    <row r="111" spans="1:12" x14ac:dyDescent="0.25">
      <c r="A111" s="34"/>
      <c r="B111" s="34"/>
      <c r="C111" s="1" t="s">
        <v>61</v>
      </c>
      <c r="D111" s="13">
        <v>2868.4250000000002</v>
      </c>
      <c r="E111" s="13">
        <v>1546.83</v>
      </c>
      <c r="F111" s="18">
        <v>760.68100000000004</v>
      </c>
      <c r="G111" s="18">
        <v>1619.2270000000001</v>
      </c>
      <c r="H111" s="18">
        <f>1767.95+39.857</f>
        <v>1807.807</v>
      </c>
      <c r="I111" s="18">
        <f>25+400+50.283+86</f>
        <v>561.28300000000002</v>
      </c>
      <c r="J111" s="13">
        <v>0</v>
      </c>
      <c r="K111" s="13">
        <v>0</v>
      </c>
      <c r="L111" s="13">
        <v>0</v>
      </c>
    </row>
    <row r="112" spans="1:12" x14ac:dyDescent="0.25">
      <c r="A112" s="34"/>
      <c r="B112" s="35"/>
      <c r="C112" s="1" t="s">
        <v>62</v>
      </c>
      <c r="D112" s="13"/>
      <c r="E112" s="13"/>
      <c r="F112" s="18"/>
      <c r="G112" s="18"/>
      <c r="H112" s="18"/>
      <c r="I112" s="18"/>
      <c r="J112" s="13"/>
      <c r="K112" s="13"/>
      <c r="L112" s="13"/>
    </row>
    <row r="113" spans="1:12" ht="19.2" customHeight="1" x14ac:dyDescent="0.25">
      <c r="A113" s="34"/>
      <c r="B113" s="33" t="s">
        <v>25</v>
      </c>
      <c r="C113" s="1" t="s">
        <v>60</v>
      </c>
      <c r="D113" s="13">
        <f>SUM(D114:D115)</f>
        <v>165.13900000000001</v>
      </c>
      <c r="E113" s="13">
        <f t="shared" ref="E113:J113" si="83">SUM(E114:E115)</f>
        <v>0</v>
      </c>
      <c r="F113" s="18">
        <f t="shared" si="83"/>
        <v>0</v>
      </c>
      <c r="G113" s="18">
        <f t="shared" si="83"/>
        <v>0</v>
      </c>
      <c r="H113" s="18">
        <f t="shared" si="83"/>
        <v>0</v>
      </c>
      <c r="I113" s="18">
        <f t="shared" si="83"/>
        <v>0</v>
      </c>
      <c r="J113" s="13">
        <f t="shared" si="83"/>
        <v>0</v>
      </c>
      <c r="K113" s="13">
        <f t="shared" ref="K113:L113" si="84">SUM(K114:K115)</f>
        <v>0</v>
      </c>
      <c r="L113" s="13">
        <f t="shared" si="84"/>
        <v>0</v>
      </c>
    </row>
    <row r="114" spans="1:12" ht="19.2" customHeight="1" x14ac:dyDescent="0.25">
      <c r="A114" s="34"/>
      <c r="B114" s="34"/>
      <c r="C114" s="1" t="s">
        <v>61</v>
      </c>
      <c r="D114" s="13"/>
      <c r="E114" s="13"/>
      <c r="F114" s="18"/>
      <c r="G114" s="18"/>
      <c r="H114" s="18"/>
      <c r="I114" s="18"/>
      <c r="J114" s="13"/>
      <c r="K114" s="13"/>
      <c r="L114" s="13"/>
    </row>
    <row r="115" spans="1:12" ht="22.5" customHeight="1" x14ac:dyDescent="0.25">
      <c r="A115" s="35"/>
      <c r="B115" s="35"/>
      <c r="C115" s="1" t="s">
        <v>62</v>
      </c>
      <c r="D115" s="13">
        <v>165.13900000000001</v>
      </c>
      <c r="E115" s="13">
        <v>0</v>
      </c>
      <c r="F115" s="18">
        <v>0</v>
      </c>
      <c r="G115" s="18">
        <v>0</v>
      </c>
      <c r="H115" s="18">
        <v>0</v>
      </c>
      <c r="I115" s="18">
        <v>0</v>
      </c>
      <c r="J115" s="13">
        <v>0</v>
      </c>
      <c r="K115" s="13">
        <v>0</v>
      </c>
      <c r="L115" s="13">
        <v>0</v>
      </c>
    </row>
    <row r="116" spans="1:12" x14ac:dyDescent="0.25">
      <c r="A116" s="33" t="s">
        <v>80</v>
      </c>
      <c r="B116" s="33" t="s">
        <v>26</v>
      </c>
      <c r="C116" s="1" t="s">
        <v>60</v>
      </c>
      <c r="D116" s="13">
        <f>SUM(D117:D118)</f>
        <v>1160</v>
      </c>
      <c r="E116" s="13">
        <f t="shared" ref="E116:J116" si="85">SUM(E117:E118)</f>
        <v>1195</v>
      </c>
      <c r="F116" s="18">
        <f t="shared" si="85"/>
        <v>1205</v>
      </c>
      <c r="G116" s="18">
        <f t="shared" si="85"/>
        <v>640.4</v>
      </c>
      <c r="H116" s="18">
        <f t="shared" si="85"/>
        <v>2085.7080000000001</v>
      </c>
      <c r="I116" s="18">
        <f t="shared" si="85"/>
        <v>2676</v>
      </c>
      <c r="J116" s="13">
        <f t="shared" si="85"/>
        <v>9271.1810000000005</v>
      </c>
      <c r="K116" s="13">
        <f t="shared" ref="K116:L116" si="86">SUM(K117:K118)</f>
        <v>0</v>
      </c>
      <c r="L116" s="13">
        <f t="shared" si="86"/>
        <v>0</v>
      </c>
    </row>
    <row r="117" spans="1:12" x14ac:dyDescent="0.25">
      <c r="A117" s="34"/>
      <c r="B117" s="34"/>
      <c r="C117" s="1" t="s">
        <v>61</v>
      </c>
      <c r="D117" s="13">
        <v>1160</v>
      </c>
      <c r="E117" s="13">
        <v>1195</v>
      </c>
      <c r="F117" s="18">
        <f>1255-150+100</f>
        <v>1205</v>
      </c>
      <c r="G117" s="18">
        <f>1000-302.6-80+23</f>
        <v>640.4</v>
      </c>
      <c r="H117" s="18">
        <v>2085.7080000000001</v>
      </c>
      <c r="I117" s="18">
        <f>2600+76</f>
        <v>2676</v>
      </c>
      <c r="J117" s="13">
        <v>9271.1810000000005</v>
      </c>
      <c r="K117" s="13">
        <v>0</v>
      </c>
      <c r="L117" s="13">
        <v>0</v>
      </c>
    </row>
    <row r="118" spans="1:12" ht="15.75" customHeight="1" x14ac:dyDescent="0.25">
      <c r="A118" s="35"/>
      <c r="B118" s="35"/>
      <c r="C118" s="1" t="s">
        <v>62</v>
      </c>
      <c r="D118" s="13"/>
      <c r="E118" s="13"/>
      <c r="F118" s="18"/>
      <c r="G118" s="18"/>
      <c r="H118" s="18"/>
      <c r="I118" s="18"/>
      <c r="J118" s="13"/>
      <c r="K118" s="13"/>
      <c r="L118" s="13"/>
    </row>
    <row r="119" spans="1:12" ht="25.2" customHeight="1" x14ac:dyDescent="0.25">
      <c r="A119" s="33" t="s">
        <v>81</v>
      </c>
      <c r="B119" s="33" t="s">
        <v>27</v>
      </c>
      <c r="C119" s="1" t="s">
        <v>60</v>
      </c>
      <c r="D119" s="13">
        <f>SUM(D120:D121)</f>
        <v>0</v>
      </c>
      <c r="E119" s="13">
        <f t="shared" ref="E119:J119" si="87">SUM(E120:E121)</f>
        <v>0</v>
      </c>
      <c r="F119" s="18">
        <f t="shared" si="87"/>
        <v>0</v>
      </c>
      <c r="G119" s="18">
        <f t="shared" si="87"/>
        <v>0</v>
      </c>
      <c r="H119" s="18">
        <f t="shared" si="87"/>
        <v>0</v>
      </c>
      <c r="I119" s="18">
        <f t="shared" si="87"/>
        <v>0</v>
      </c>
      <c r="J119" s="13">
        <f t="shared" si="87"/>
        <v>0</v>
      </c>
      <c r="K119" s="13">
        <f t="shared" ref="K119:L119" si="88">SUM(K120:K121)</f>
        <v>0</v>
      </c>
      <c r="L119" s="13">
        <f t="shared" si="88"/>
        <v>0</v>
      </c>
    </row>
    <row r="120" spans="1:12" ht="25.2" customHeight="1" x14ac:dyDescent="0.25">
      <c r="A120" s="34"/>
      <c r="B120" s="34"/>
      <c r="C120" s="1" t="s">
        <v>61</v>
      </c>
      <c r="D120" s="13"/>
      <c r="E120" s="13"/>
      <c r="F120" s="18"/>
      <c r="G120" s="18"/>
      <c r="H120" s="18"/>
      <c r="I120" s="18"/>
      <c r="J120" s="13"/>
      <c r="K120" s="13"/>
      <c r="L120" s="13"/>
    </row>
    <row r="121" spans="1:12" ht="44.25" customHeight="1" x14ac:dyDescent="0.25">
      <c r="A121" s="35"/>
      <c r="B121" s="35"/>
      <c r="C121" s="1" t="s">
        <v>62</v>
      </c>
      <c r="D121" s="13"/>
      <c r="E121" s="13"/>
      <c r="F121" s="18"/>
      <c r="G121" s="18"/>
      <c r="H121" s="18"/>
      <c r="I121" s="18"/>
      <c r="J121" s="13"/>
      <c r="K121" s="13"/>
      <c r="L121" s="13"/>
    </row>
    <row r="122" spans="1:12" x14ac:dyDescent="0.25">
      <c r="A122" s="33" t="s">
        <v>82</v>
      </c>
      <c r="B122" s="33" t="s">
        <v>22</v>
      </c>
      <c r="C122" s="1" t="s">
        <v>60</v>
      </c>
      <c r="D122" s="13">
        <f>SUM(D123:D124)</f>
        <v>0</v>
      </c>
      <c r="E122" s="13">
        <f t="shared" ref="E122:J122" si="89">SUM(E123:E124)</f>
        <v>0</v>
      </c>
      <c r="F122" s="18">
        <f t="shared" si="89"/>
        <v>0</v>
      </c>
      <c r="G122" s="18">
        <f t="shared" si="89"/>
        <v>0</v>
      </c>
      <c r="H122" s="18">
        <f t="shared" si="89"/>
        <v>0</v>
      </c>
      <c r="I122" s="18">
        <f t="shared" si="89"/>
        <v>0</v>
      </c>
      <c r="J122" s="13">
        <f t="shared" si="89"/>
        <v>0</v>
      </c>
      <c r="K122" s="13">
        <f t="shared" ref="K122:L122" si="90">SUM(K123:K124)</f>
        <v>0</v>
      </c>
      <c r="L122" s="13">
        <f t="shared" si="90"/>
        <v>0</v>
      </c>
    </row>
    <row r="123" spans="1:12" x14ac:dyDescent="0.25">
      <c r="A123" s="34"/>
      <c r="B123" s="34"/>
      <c r="C123" s="1" t="s">
        <v>61</v>
      </c>
      <c r="D123" s="13"/>
      <c r="E123" s="13"/>
      <c r="F123" s="18"/>
      <c r="G123" s="18"/>
      <c r="H123" s="18"/>
      <c r="I123" s="18"/>
      <c r="J123" s="13"/>
      <c r="K123" s="13"/>
      <c r="L123" s="13"/>
    </row>
    <row r="124" spans="1:12" ht="17.25" customHeight="1" x14ac:dyDescent="0.25">
      <c r="A124" s="35"/>
      <c r="B124" s="35"/>
      <c r="C124" s="1" t="s">
        <v>62</v>
      </c>
      <c r="D124" s="13"/>
      <c r="E124" s="13"/>
      <c r="F124" s="18"/>
      <c r="G124" s="18"/>
      <c r="H124" s="18"/>
      <c r="I124" s="18"/>
      <c r="J124" s="13"/>
      <c r="K124" s="13"/>
      <c r="L124" s="13"/>
    </row>
    <row r="125" spans="1:12" x14ac:dyDescent="0.25">
      <c r="A125" s="33" t="s">
        <v>83</v>
      </c>
      <c r="B125" s="33" t="s">
        <v>28</v>
      </c>
      <c r="C125" s="1" t="s">
        <v>60</v>
      </c>
      <c r="D125" s="13">
        <f>SUM(D126:D127)</f>
        <v>18.899999999999999</v>
      </c>
      <c r="E125" s="13">
        <f t="shared" ref="E125:J125" si="91">SUM(E126:E127)</f>
        <v>17.36</v>
      </c>
      <c r="F125" s="18">
        <f t="shared" si="91"/>
        <v>18.899999999999999</v>
      </c>
      <c r="G125" s="18">
        <f t="shared" si="91"/>
        <v>8.98</v>
      </c>
      <c r="H125" s="18">
        <f t="shared" si="91"/>
        <v>12</v>
      </c>
      <c r="I125" s="18">
        <f t="shared" si="91"/>
        <v>0</v>
      </c>
      <c r="J125" s="13">
        <f t="shared" si="91"/>
        <v>20</v>
      </c>
      <c r="K125" s="13">
        <f t="shared" ref="K125:L125" si="92">SUM(K126:K127)</f>
        <v>20</v>
      </c>
      <c r="L125" s="13">
        <f t="shared" si="92"/>
        <v>20</v>
      </c>
    </row>
    <row r="126" spans="1:12" x14ac:dyDescent="0.25">
      <c r="A126" s="34"/>
      <c r="B126" s="34"/>
      <c r="C126" s="1" t="s">
        <v>61</v>
      </c>
      <c r="D126" s="13">
        <v>18.899999999999999</v>
      </c>
      <c r="E126" s="13">
        <v>17.36</v>
      </c>
      <c r="F126" s="18">
        <v>18.899999999999999</v>
      </c>
      <c r="G126" s="18">
        <v>8.98</v>
      </c>
      <c r="H126" s="18">
        <f>12</f>
        <v>12</v>
      </c>
      <c r="I126" s="18">
        <v>0</v>
      </c>
      <c r="J126" s="13">
        <v>20</v>
      </c>
      <c r="K126" s="13">
        <v>20</v>
      </c>
      <c r="L126" s="13">
        <v>20</v>
      </c>
    </row>
    <row r="127" spans="1:12" ht="15.75" customHeight="1" x14ac:dyDescent="0.25">
      <c r="A127" s="35"/>
      <c r="B127" s="35"/>
      <c r="C127" s="1" t="s">
        <v>62</v>
      </c>
      <c r="D127" s="13"/>
      <c r="E127" s="13"/>
      <c r="F127" s="18"/>
      <c r="G127" s="18"/>
      <c r="H127" s="18"/>
      <c r="I127" s="18"/>
      <c r="J127" s="13"/>
      <c r="K127" s="13"/>
      <c r="L127" s="13"/>
    </row>
    <row r="128" spans="1:12" x14ac:dyDescent="0.25">
      <c r="A128" s="33" t="s">
        <v>84</v>
      </c>
      <c r="B128" s="33" t="s">
        <v>29</v>
      </c>
      <c r="C128" s="1" t="s">
        <v>60</v>
      </c>
      <c r="D128" s="13">
        <f>SUM(D129:D130)</f>
        <v>0</v>
      </c>
      <c r="E128" s="13">
        <f t="shared" ref="E128:J128" si="93">SUM(E129:E130)</f>
        <v>0</v>
      </c>
      <c r="F128" s="18">
        <f t="shared" si="93"/>
        <v>0</v>
      </c>
      <c r="G128" s="18">
        <f t="shared" si="93"/>
        <v>0</v>
      </c>
      <c r="H128" s="18">
        <f t="shared" si="93"/>
        <v>0</v>
      </c>
      <c r="I128" s="18">
        <f t="shared" si="93"/>
        <v>0</v>
      </c>
      <c r="J128" s="13">
        <f t="shared" si="93"/>
        <v>0</v>
      </c>
      <c r="K128" s="13">
        <f t="shared" ref="K128:L128" si="94">SUM(K129:K130)</f>
        <v>0</v>
      </c>
      <c r="L128" s="13">
        <f t="shared" si="94"/>
        <v>0</v>
      </c>
    </row>
    <row r="129" spans="1:12" x14ac:dyDescent="0.25">
      <c r="A129" s="34"/>
      <c r="B129" s="34"/>
      <c r="C129" s="1" t="s">
        <v>61</v>
      </c>
      <c r="D129" s="13"/>
      <c r="E129" s="13"/>
      <c r="F129" s="18"/>
      <c r="G129" s="18"/>
      <c r="H129" s="18"/>
      <c r="I129" s="18"/>
      <c r="J129" s="13"/>
      <c r="K129" s="13"/>
      <c r="L129" s="13"/>
    </row>
    <row r="130" spans="1:12" ht="15.75" customHeight="1" x14ac:dyDescent="0.25">
      <c r="A130" s="35"/>
      <c r="B130" s="35"/>
      <c r="C130" s="1" t="s">
        <v>62</v>
      </c>
      <c r="D130" s="13"/>
      <c r="E130" s="13"/>
      <c r="F130" s="18"/>
      <c r="G130" s="18"/>
      <c r="H130" s="18"/>
      <c r="I130" s="18"/>
      <c r="J130" s="13"/>
      <c r="K130" s="13"/>
      <c r="L130" s="13"/>
    </row>
    <row r="131" spans="1:12" ht="20.399999999999999" customHeight="1" x14ac:dyDescent="0.25">
      <c r="A131" s="33" t="s">
        <v>85</v>
      </c>
      <c r="B131" s="33" t="s">
        <v>141</v>
      </c>
      <c r="C131" s="1" t="s">
        <v>60</v>
      </c>
      <c r="D131" s="13">
        <f>SUM(D132:D133)</f>
        <v>494.9</v>
      </c>
      <c r="E131" s="13">
        <f t="shared" ref="E131:J131" si="95">SUM(E132:E133)</f>
        <v>490.9</v>
      </c>
      <c r="F131" s="18">
        <f t="shared" si="95"/>
        <v>320.89999999999998</v>
      </c>
      <c r="G131" s="18">
        <f t="shared" si="95"/>
        <v>0</v>
      </c>
      <c r="H131" s="18">
        <f t="shared" si="95"/>
        <v>0</v>
      </c>
      <c r="I131" s="18">
        <f t="shared" si="95"/>
        <v>0</v>
      </c>
      <c r="J131" s="13">
        <f t="shared" si="95"/>
        <v>0</v>
      </c>
      <c r="K131" s="13">
        <f t="shared" ref="K131:L131" si="96">SUM(K132:K133)</f>
        <v>0</v>
      </c>
      <c r="L131" s="13">
        <f t="shared" si="96"/>
        <v>0</v>
      </c>
    </row>
    <row r="132" spans="1:12" ht="17.399999999999999" customHeight="1" x14ac:dyDescent="0.25">
      <c r="A132" s="34"/>
      <c r="B132" s="34"/>
      <c r="C132" s="1" t="s">
        <v>61</v>
      </c>
      <c r="D132" s="13">
        <v>494.9</v>
      </c>
      <c r="E132" s="13">
        <v>490.9</v>
      </c>
      <c r="F132" s="18">
        <v>320.89999999999998</v>
      </c>
      <c r="G132" s="18">
        <v>0</v>
      </c>
      <c r="H132" s="18">
        <v>0</v>
      </c>
      <c r="I132" s="18">
        <v>0</v>
      </c>
      <c r="J132" s="13">
        <v>0</v>
      </c>
      <c r="K132" s="13">
        <v>0</v>
      </c>
      <c r="L132" s="13">
        <v>0</v>
      </c>
    </row>
    <row r="133" spans="1:12" ht="22.2" customHeight="1" x14ac:dyDescent="0.25">
      <c r="A133" s="35"/>
      <c r="B133" s="35"/>
      <c r="C133" s="1" t="s">
        <v>62</v>
      </c>
      <c r="D133" s="13"/>
      <c r="E133" s="13"/>
      <c r="F133" s="18"/>
      <c r="G133" s="18"/>
      <c r="H133" s="18"/>
      <c r="I133" s="18"/>
      <c r="J133" s="13"/>
      <c r="K133" s="13"/>
      <c r="L133" s="13"/>
    </row>
    <row r="134" spans="1:12" ht="19.95" customHeight="1" x14ac:dyDescent="0.25">
      <c r="A134" s="33" t="s">
        <v>86</v>
      </c>
      <c r="B134" s="36" t="s">
        <v>29</v>
      </c>
      <c r="C134" s="1" t="s">
        <v>60</v>
      </c>
      <c r="D134" s="13">
        <f>SUM(D135:D136)</f>
        <v>135</v>
      </c>
      <c r="E134" s="13">
        <f t="shared" ref="E134:J134" si="97">SUM(E135:E136)</f>
        <v>83.8</v>
      </c>
      <c r="F134" s="18">
        <f t="shared" si="97"/>
        <v>145</v>
      </c>
      <c r="G134" s="18">
        <f t="shared" si="97"/>
        <v>13</v>
      </c>
      <c r="H134" s="18">
        <f t="shared" si="97"/>
        <v>13</v>
      </c>
      <c r="I134" s="18">
        <f t="shared" si="97"/>
        <v>0</v>
      </c>
      <c r="J134" s="13">
        <f t="shared" si="97"/>
        <v>0</v>
      </c>
      <c r="K134" s="13">
        <f t="shared" ref="K134:L134" si="98">SUM(K135:K136)</f>
        <v>0</v>
      </c>
      <c r="L134" s="13">
        <f t="shared" si="98"/>
        <v>0</v>
      </c>
    </row>
    <row r="135" spans="1:12" ht="18" customHeight="1" x14ac:dyDescent="0.25">
      <c r="A135" s="34"/>
      <c r="B135" s="36"/>
      <c r="C135" s="1" t="s">
        <v>61</v>
      </c>
      <c r="D135" s="13">
        <v>135</v>
      </c>
      <c r="E135" s="13">
        <v>83.8</v>
      </c>
      <c r="F135" s="18">
        <v>145</v>
      </c>
      <c r="G135" s="18">
        <v>13</v>
      </c>
      <c r="H135" s="18">
        <v>13</v>
      </c>
      <c r="I135" s="18">
        <v>0</v>
      </c>
      <c r="J135" s="13">
        <v>0</v>
      </c>
      <c r="K135" s="13">
        <v>0</v>
      </c>
      <c r="L135" s="13">
        <v>0</v>
      </c>
    </row>
    <row r="136" spans="1:12" ht="18.600000000000001" customHeight="1" x14ac:dyDescent="0.25">
      <c r="A136" s="35"/>
      <c r="B136" s="36"/>
      <c r="C136" s="1" t="s">
        <v>62</v>
      </c>
      <c r="D136" s="13"/>
      <c r="E136" s="13"/>
      <c r="F136" s="18"/>
      <c r="G136" s="18"/>
      <c r="H136" s="18"/>
      <c r="I136" s="18"/>
      <c r="J136" s="13"/>
      <c r="K136" s="13"/>
      <c r="L136" s="13"/>
    </row>
    <row r="137" spans="1:12" x14ac:dyDescent="0.25">
      <c r="A137" s="33" t="s">
        <v>87</v>
      </c>
      <c r="B137" s="33" t="s">
        <v>30</v>
      </c>
      <c r="C137" s="1" t="s">
        <v>60</v>
      </c>
      <c r="D137" s="13">
        <f>SUM(D138:D139)</f>
        <v>0</v>
      </c>
      <c r="E137" s="13">
        <f t="shared" ref="E137:J137" si="99">SUM(E138:E139)</f>
        <v>465</v>
      </c>
      <c r="F137" s="18">
        <f t="shared" si="99"/>
        <v>0</v>
      </c>
      <c r="G137" s="18">
        <f t="shared" si="99"/>
        <v>0</v>
      </c>
      <c r="H137" s="18">
        <f t="shared" si="99"/>
        <v>0</v>
      </c>
      <c r="I137" s="18">
        <f t="shared" si="99"/>
        <v>0</v>
      </c>
      <c r="J137" s="13">
        <f t="shared" si="99"/>
        <v>0</v>
      </c>
      <c r="K137" s="13">
        <f t="shared" ref="K137:L137" si="100">SUM(K138:K139)</f>
        <v>0</v>
      </c>
      <c r="L137" s="13">
        <f t="shared" si="100"/>
        <v>0</v>
      </c>
    </row>
    <row r="138" spans="1:12" x14ac:dyDescent="0.25">
      <c r="A138" s="34"/>
      <c r="B138" s="34"/>
      <c r="C138" s="1" t="s">
        <v>61</v>
      </c>
      <c r="D138" s="13">
        <v>0</v>
      </c>
      <c r="E138" s="13">
        <v>465</v>
      </c>
      <c r="F138" s="18">
        <v>0</v>
      </c>
      <c r="G138" s="18">
        <v>0</v>
      </c>
      <c r="H138" s="18">
        <v>0</v>
      </c>
      <c r="I138" s="18">
        <v>0</v>
      </c>
      <c r="J138" s="13">
        <v>0</v>
      </c>
      <c r="K138" s="13">
        <v>0</v>
      </c>
      <c r="L138" s="13">
        <v>0</v>
      </c>
    </row>
    <row r="139" spans="1:12" x14ac:dyDescent="0.25">
      <c r="A139" s="34"/>
      <c r="B139" s="35"/>
      <c r="C139" s="1" t="s">
        <v>62</v>
      </c>
      <c r="D139" s="13"/>
      <c r="E139" s="13"/>
      <c r="F139" s="18"/>
      <c r="G139" s="18"/>
      <c r="H139" s="18"/>
      <c r="I139" s="18"/>
      <c r="J139" s="13"/>
      <c r="K139" s="13"/>
      <c r="L139" s="13"/>
    </row>
    <row r="140" spans="1:12" ht="19.95" customHeight="1" x14ac:dyDescent="0.25">
      <c r="A140" s="34"/>
      <c r="B140" s="33" t="s">
        <v>31</v>
      </c>
      <c r="C140" s="1" t="s">
        <v>60</v>
      </c>
      <c r="D140" s="13">
        <f>SUM(D141:D143)</f>
        <v>0</v>
      </c>
      <c r="E140" s="13">
        <f t="shared" ref="E140:J140" si="101">SUM(E141:E143)</f>
        <v>756</v>
      </c>
      <c r="F140" s="13">
        <f t="shared" si="101"/>
        <v>0</v>
      </c>
      <c r="G140" s="13">
        <f t="shared" si="101"/>
        <v>0</v>
      </c>
      <c r="H140" s="13">
        <f t="shared" si="101"/>
        <v>0</v>
      </c>
      <c r="I140" s="18">
        <f t="shared" si="101"/>
        <v>0</v>
      </c>
      <c r="J140" s="13">
        <f t="shared" si="101"/>
        <v>0</v>
      </c>
      <c r="K140" s="13">
        <f t="shared" ref="K140:L140" si="102">SUM(K141:K143)</f>
        <v>0</v>
      </c>
      <c r="L140" s="13">
        <f t="shared" si="102"/>
        <v>0</v>
      </c>
    </row>
    <row r="141" spans="1:12" ht="19.95" customHeight="1" x14ac:dyDescent="0.25">
      <c r="A141" s="34"/>
      <c r="B141" s="34"/>
      <c r="C141" s="1" t="s">
        <v>61</v>
      </c>
      <c r="D141" s="13"/>
      <c r="E141" s="13"/>
      <c r="F141" s="18"/>
      <c r="G141" s="18"/>
      <c r="H141" s="18"/>
      <c r="I141" s="18"/>
      <c r="J141" s="13"/>
      <c r="K141" s="13"/>
      <c r="L141" s="13"/>
    </row>
    <row r="142" spans="1:12" ht="19.95" customHeight="1" x14ac:dyDescent="0.25">
      <c r="A142" s="34"/>
      <c r="B142" s="34"/>
      <c r="C142" s="1" t="s">
        <v>62</v>
      </c>
      <c r="D142" s="13">
        <v>0</v>
      </c>
      <c r="E142" s="13">
        <v>0</v>
      </c>
      <c r="F142" s="18">
        <v>0</v>
      </c>
      <c r="G142" s="18">
        <v>0</v>
      </c>
      <c r="H142" s="18">
        <v>0</v>
      </c>
      <c r="I142" s="18">
        <v>0</v>
      </c>
      <c r="J142" s="13">
        <v>0</v>
      </c>
      <c r="K142" s="13">
        <v>0</v>
      </c>
      <c r="L142" s="13">
        <v>0</v>
      </c>
    </row>
    <row r="143" spans="1:12" s="21" customFormat="1" ht="19.95" customHeight="1" x14ac:dyDescent="0.25">
      <c r="A143" s="34"/>
      <c r="B143" s="35"/>
      <c r="C143" s="22" t="s">
        <v>133</v>
      </c>
      <c r="D143" s="18">
        <v>0</v>
      </c>
      <c r="E143" s="18">
        <v>756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</row>
    <row r="144" spans="1:12" ht="30" customHeight="1" x14ac:dyDescent="0.25">
      <c r="A144" s="34"/>
      <c r="B144" s="36" t="s">
        <v>32</v>
      </c>
      <c r="C144" s="1" t="s">
        <v>60</v>
      </c>
      <c r="D144" s="13">
        <f>SUM(D145:D146)</f>
        <v>0</v>
      </c>
      <c r="E144" s="13">
        <f t="shared" ref="E144:J144" si="103">SUM(E145:E146)</f>
        <v>400</v>
      </c>
      <c r="F144" s="18">
        <f t="shared" si="103"/>
        <v>0</v>
      </c>
      <c r="G144" s="18">
        <f t="shared" si="103"/>
        <v>0</v>
      </c>
      <c r="H144" s="18">
        <f t="shared" si="103"/>
        <v>0</v>
      </c>
      <c r="I144" s="18">
        <f t="shared" si="103"/>
        <v>0</v>
      </c>
      <c r="J144" s="13">
        <f t="shared" si="103"/>
        <v>0</v>
      </c>
      <c r="K144" s="13">
        <f t="shared" ref="K144:L144" si="104">SUM(K145:K146)</f>
        <v>0</v>
      </c>
      <c r="L144" s="13">
        <f t="shared" si="104"/>
        <v>0</v>
      </c>
    </row>
    <row r="145" spans="1:12" ht="30" customHeight="1" x14ac:dyDescent="0.25">
      <c r="A145" s="34"/>
      <c r="B145" s="36"/>
      <c r="C145" s="1" t="s">
        <v>61</v>
      </c>
      <c r="D145" s="13"/>
      <c r="E145" s="13"/>
      <c r="F145" s="18"/>
      <c r="G145" s="18"/>
      <c r="H145" s="18"/>
      <c r="I145" s="18"/>
      <c r="J145" s="13"/>
      <c r="K145" s="13"/>
      <c r="L145" s="13"/>
    </row>
    <row r="146" spans="1:12" ht="46.5" customHeight="1" x14ac:dyDescent="0.25">
      <c r="A146" s="35"/>
      <c r="B146" s="36"/>
      <c r="C146" s="1" t="s">
        <v>62</v>
      </c>
      <c r="D146" s="13">
        <v>0</v>
      </c>
      <c r="E146" s="13">
        <v>400</v>
      </c>
      <c r="F146" s="18">
        <v>0</v>
      </c>
      <c r="G146" s="18">
        <v>0</v>
      </c>
      <c r="H146" s="18">
        <v>0</v>
      </c>
      <c r="I146" s="18">
        <v>0</v>
      </c>
      <c r="J146" s="13">
        <v>0</v>
      </c>
      <c r="K146" s="13">
        <v>0</v>
      </c>
      <c r="L146" s="13">
        <v>0</v>
      </c>
    </row>
    <row r="147" spans="1:12" ht="31.95" customHeight="1" x14ac:dyDescent="0.25">
      <c r="A147" s="33" t="s">
        <v>88</v>
      </c>
      <c r="B147" s="33" t="s">
        <v>33</v>
      </c>
      <c r="C147" s="1" t="s">
        <v>60</v>
      </c>
      <c r="D147" s="13">
        <f>SUM(D148:D149)</f>
        <v>6727.2</v>
      </c>
      <c r="E147" s="13">
        <f t="shared" ref="E147:J147" si="105">SUM(E148:E149)</f>
        <v>6619.1</v>
      </c>
      <c r="F147" s="18">
        <f t="shared" si="105"/>
        <v>6280.8</v>
      </c>
      <c r="G147" s="18">
        <f t="shared" si="105"/>
        <v>0</v>
      </c>
      <c r="H147" s="18">
        <f t="shared" si="105"/>
        <v>0</v>
      </c>
      <c r="I147" s="18">
        <f t="shared" si="105"/>
        <v>0</v>
      </c>
      <c r="J147" s="13">
        <f t="shared" si="105"/>
        <v>0</v>
      </c>
      <c r="K147" s="13">
        <f t="shared" ref="K147:L147" si="106">SUM(K148:K149)</f>
        <v>0</v>
      </c>
      <c r="L147" s="13">
        <f t="shared" si="106"/>
        <v>0</v>
      </c>
    </row>
    <row r="148" spans="1:12" ht="31.95" customHeight="1" x14ac:dyDescent="0.25">
      <c r="A148" s="34"/>
      <c r="B148" s="34"/>
      <c r="C148" s="1" t="s">
        <v>61</v>
      </c>
      <c r="D148" s="13"/>
      <c r="E148" s="13"/>
      <c r="F148" s="18"/>
      <c r="G148" s="18"/>
      <c r="H148" s="18"/>
      <c r="I148" s="18"/>
      <c r="J148" s="13"/>
      <c r="K148" s="13"/>
      <c r="L148" s="13"/>
    </row>
    <row r="149" spans="1:12" ht="30" customHeight="1" x14ac:dyDescent="0.25">
      <c r="A149" s="35"/>
      <c r="B149" s="35"/>
      <c r="C149" s="1" t="s">
        <v>62</v>
      </c>
      <c r="D149" s="13">
        <v>6727.2</v>
      </c>
      <c r="E149" s="13">
        <v>6619.1</v>
      </c>
      <c r="F149" s="18">
        <v>6280.8</v>
      </c>
      <c r="G149" s="18">
        <v>0</v>
      </c>
      <c r="H149" s="18">
        <v>0</v>
      </c>
      <c r="I149" s="18">
        <v>0</v>
      </c>
      <c r="J149" s="13">
        <v>0</v>
      </c>
      <c r="K149" s="13">
        <v>0</v>
      </c>
      <c r="L149" s="13">
        <v>0</v>
      </c>
    </row>
    <row r="150" spans="1:12" x14ac:dyDescent="0.25">
      <c r="A150" s="33" t="s">
        <v>108</v>
      </c>
      <c r="B150" s="33" t="s">
        <v>111</v>
      </c>
      <c r="C150" s="1" t="s">
        <v>60</v>
      </c>
      <c r="D150" s="13">
        <f>SUM(D151:D152)</f>
        <v>0</v>
      </c>
      <c r="E150" s="13">
        <f t="shared" ref="E150:J150" si="107">SUM(E151:E152)</f>
        <v>0</v>
      </c>
      <c r="F150" s="18">
        <f t="shared" si="107"/>
        <v>195</v>
      </c>
      <c r="G150" s="18">
        <f t="shared" si="107"/>
        <v>30</v>
      </c>
      <c r="H150" s="18">
        <f t="shared" si="107"/>
        <v>0</v>
      </c>
      <c r="I150" s="18">
        <f t="shared" si="107"/>
        <v>0</v>
      </c>
      <c r="J150" s="13">
        <f t="shared" si="107"/>
        <v>0</v>
      </c>
      <c r="K150" s="13">
        <f t="shared" ref="K150:L150" si="108">SUM(K151:K152)</f>
        <v>0</v>
      </c>
      <c r="L150" s="13">
        <f t="shared" si="108"/>
        <v>0</v>
      </c>
    </row>
    <row r="151" spans="1:12" x14ac:dyDescent="0.25">
      <c r="A151" s="34"/>
      <c r="B151" s="34"/>
      <c r="C151" s="1" t="s">
        <v>61</v>
      </c>
      <c r="D151" s="13">
        <v>0</v>
      </c>
      <c r="E151" s="13">
        <v>0</v>
      </c>
      <c r="F151" s="18">
        <f>105+90</f>
        <v>195</v>
      </c>
      <c r="G151" s="18">
        <v>30</v>
      </c>
      <c r="H151" s="18">
        <v>0</v>
      </c>
      <c r="I151" s="18">
        <v>0</v>
      </c>
      <c r="J151" s="13">
        <v>0</v>
      </c>
      <c r="K151" s="13">
        <v>0</v>
      </c>
      <c r="L151" s="13">
        <v>0</v>
      </c>
    </row>
    <row r="152" spans="1:12" x14ac:dyDescent="0.25">
      <c r="A152" s="35"/>
      <c r="B152" s="35"/>
      <c r="C152" s="1" t="s">
        <v>62</v>
      </c>
      <c r="D152" s="13"/>
      <c r="E152" s="13"/>
      <c r="F152" s="18"/>
      <c r="G152" s="18"/>
      <c r="H152" s="18"/>
      <c r="I152" s="18"/>
      <c r="J152" s="13"/>
      <c r="K152" s="13"/>
      <c r="L152" s="13"/>
    </row>
    <row r="153" spans="1:12" ht="31.95" customHeight="1" x14ac:dyDescent="0.25">
      <c r="A153" s="33" t="s">
        <v>113</v>
      </c>
      <c r="B153" s="33" t="s">
        <v>125</v>
      </c>
      <c r="C153" s="1" t="s">
        <v>60</v>
      </c>
      <c r="D153" s="13">
        <f>SUM(D154:D155)</f>
        <v>0</v>
      </c>
      <c r="E153" s="13">
        <f t="shared" ref="E153:J153" si="109">SUM(E154:E155)</f>
        <v>0</v>
      </c>
      <c r="F153" s="18">
        <f t="shared" si="109"/>
        <v>0</v>
      </c>
      <c r="G153" s="18">
        <f t="shared" si="109"/>
        <v>6222.7000000000007</v>
      </c>
      <c r="H153" s="18">
        <f>SUM(H154:H155)</f>
        <v>6362.8</v>
      </c>
      <c r="I153" s="18">
        <f t="shared" si="109"/>
        <v>8218.5</v>
      </c>
      <c r="J153" s="13">
        <f t="shared" si="109"/>
        <v>8502.4239999999991</v>
      </c>
      <c r="K153" s="13">
        <f t="shared" ref="K153:L153" si="110">SUM(K154:K155)</f>
        <v>8842.5249999999996</v>
      </c>
      <c r="L153" s="13">
        <f t="shared" si="110"/>
        <v>9196.262999999999</v>
      </c>
    </row>
    <row r="154" spans="1:12" ht="31.95" customHeight="1" x14ac:dyDescent="0.25">
      <c r="A154" s="34"/>
      <c r="B154" s="34"/>
      <c r="C154" s="1" t="s">
        <v>61</v>
      </c>
      <c r="D154" s="13">
        <f>SUM(D155:D156)</f>
        <v>0</v>
      </c>
      <c r="E154" s="13">
        <v>0</v>
      </c>
      <c r="F154" s="18">
        <v>0</v>
      </c>
      <c r="G154" s="18">
        <v>74.599999999999994</v>
      </c>
      <c r="H154" s="18">
        <f>63.3+0.4</f>
        <v>63.699999999999996</v>
      </c>
      <c r="I154" s="18">
        <f>84.305-2.105</f>
        <v>82.2</v>
      </c>
      <c r="J154" s="13">
        <v>85.024000000000001</v>
      </c>
      <c r="K154" s="13">
        <v>88.424999999999997</v>
      </c>
      <c r="L154" s="13">
        <v>91.962999999999994</v>
      </c>
    </row>
    <row r="155" spans="1:12" ht="31.95" customHeight="1" x14ac:dyDescent="0.25">
      <c r="A155" s="35"/>
      <c r="B155" s="34"/>
      <c r="C155" s="1" t="s">
        <v>62</v>
      </c>
      <c r="D155" s="13">
        <v>0</v>
      </c>
      <c r="E155" s="13">
        <v>0</v>
      </c>
      <c r="F155" s="18">
        <v>0</v>
      </c>
      <c r="G155" s="18">
        <v>6148.1</v>
      </c>
      <c r="H155" s="18">
        <f>6264.8+34.3</f>
        <v>6299.1</v>
      </c>
      <c r="I155" s="18">
        <f>8346.1-209.8</f>
        <v>8136.3</v>
      </c>
      <c r="J155" s="13">
        <v>8417.4</v>
      </c>
      <c r="K155" s="13">
        <v>8754.1</v>
      </c>
      <c r="L155" s="13">
        <v>9104.2999999999993</v>
      </c>
    </row>
    <row r="156" spans="1:12" ht="17.399999999999999" customHeight="1" x14ac:dyDescent="0.25">
      <c r="A156" s="33" t="s">
        <v>114</v>
      </c>
      <c r="B156" s="47" t="s">
        <v>146</v>
      </c>
      <c r="C156" s="22" t="s">
        <v>60</v>
      </c>
      <c r="D156" s="18">
        <f>SUM(D157:D158)</f>
        <v>0</v>
      </c>
      <c r="E156" s="18">
        <f t="shared" ref="E156:J156" si="111">SUM(E157:E158)</f>
        <v>0</v>
      </c>
      <c r="F156" s="18">
        <f t="shared" si="111"/>
        <v>0</v>
      </c>
      <c r="G156" s="18">
        <f t="shared" si="111"/>
        <v>0</v>
      </c>
      <c r="H156" s="18">
        <f t="shared" si="111"/>
        <v>0</v>
      </c>
      <c r="I156" s="18">
        <f t="shared" si="111"/>
        <v>0</v>
      </c>
      <c r="J156" s="18">
        <f t="shared" si="111"/>
        <v>0</v>
      </c>
      <c r="K156" s="18">
        <f t="shared" ref="K156:L156" si="112">SUM(K157:K158)</f>
        <v>0</v>
      </c>
      <c r="L156" s="18">
        <f t="shared" si="112"/>
        <v>0</v>
      </c>
    </row>
    <row r="157" spans="1:12" ht="21" customHeight="1" x14ac:dyDescent="0.25">
      <c r="A157" s="34"/>
      <c r="B157" s="48"/>
      <c r="C157" s="22" t="s">
        <v>61</v>
      </c>
      <c r="D157" s="18">
        <v>0</v>
      </c>
      <c r="E157" s="18">
        <v>0</v>
      </c>
      <c r="F157" s="18">
        <v>0</v>
      </c>
      <c r="G157" s="18">
        <f>33.3-33.3</f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</row>
    <row r="158" spans="1:12" ht="23.25" customHeight="1" x14ac:dyDescent="0.25">
      <c r="A158" s="34"/>
      <c r="B158" s="49"/>
      <c r="C158" s="22" t="s">
        <v>62</v>
      </c>
      <c r="D158" s="18"/>
      <c r="E158" s="18"/>
      <c r="F158" s="18"/>
      <c r="G158" s="18"/>
      <c r="H158" s="18"/>
      <c r="I158" s="18"/>
      <c r="J158" s="18">
        <v>0</v>
      </c>
      <c r="K158" s="18">
        <v>0</v>
      </c>
      <c r="L158" s="18">
        <v>0</v>
      </c>
    </row>
    <row r="159" spans="1:12" ht="23.25" customHeight="1" x14ac:dyDescent="0.25">
      <c r="A159" s="34"/>
      <c r="B159" s="47" t="s">
        <v>149</v>
      </c>
      <c r="C159" s="22" t="s">
        <v>60</v>
      </c>
      <c r="D159" s="18">
        <f>SUM(D160:D161)</f>
        <v>0</v>
      </c>
      <c r="E159" s="18">
        <f t="shared" ref="E159:L159" si="113">SUM(E160:E161)</f>
        <v>0</v>
      </c>
      <c r="F159" s="18">
        <f t="shared" si="113"/>
        <v>0</v>
      </c>
      <c r="G159" s="18">
        <f t="shared" si="113"/>
        <v>0</v>
      </c>
      <c r="H159" s="18">
        <f t="shared" si="113"/>
        <v>0</v>
      </c>
      <c r="I159" s="18">
        <f t="shared" si="113"/>
        <v>0</v>
      </c>
      <c r="J159" s="18">
        <f t="shared" si="113"/>
        <v>260.00099999999998</v>
      </c>
      <c r="K159" s="18">
        <f t="shared" si="113"/>
        <v>0</v>
      </c>
      <c r="L159" s="18">
        <f t="shared" si="113"/>
        <v>0</v>
      </c>
    </row>
    <row r="160" spans="1:12" ht="23.25" customHeight="1" x14ac:dyDescent="0.25">
      <c r="A160" s="34"/>
      <c r="B160" s="48"/>
      <c r="C160" s="22" t="s">
        <v>61</v>
      </c>
      <c r="D160" s="18">
        <v>0</v>
      </c>
      <c r="E160" s="18">
        <v>0</v>
      </c>
      <c r="F160" s="18">
        <v>0</v>
      </c>
      <c r="G160" s="18">
        <f>33.3-33.3</f>
        <v>0</v>
      </c>
      <c r="H160" s="18">
        <v>0</v>
      </c>
      <c r="I160" s="18">
        <v>0</v>
      </c>
      <c r="J160" s="18">
        <f>326.668-66.667</f>
        <v>260.00099999999998</v>
      </c>
      <c r="K160" s="18">
        <v>0</v>
      </c>
      <c r="L160" s="18">
        <v>0</v>
      </c>
    </row>
    <row r="161" spans="1:12" ht="23.25" customHeight="1" x14ac:dyDescent="0.25">
      <c r="A161" s="35"/>
      <c r="B161" s="49"/>
      <c r="C161" s="22" t="s">
        <v>62</v>
      </c>
      <c r="D161" s="18"/>
      <c r="E161" s="18"/>
      <c r="F161" s="18"/>
      <c r="G161" s="18"/>
      <c r="H161" s="18"/>
      <c r="I161" s="18"/>
      <c r="J161" s="18">
        <v>0</v>
      </c>
      <c r="K161" s="18">
        <v>0</v>
      </c>
      <c r="L161" s="18">
        <v>0</v>
      </c>
    </row>
    <row r="162" spans="1:12" x14ac:dyDescent="0.25">
      <c r="A162" s="33" t="s">
        <v>124</v>
      </c>
      <c r="B162" s="33" t="s">
        <v>122</v>
      </c>
      <c r="C162" s="1" t="s">
        <v>60</v>
      </c>
      <c r="D162" s="13">
        <f>SUM(D163:D164)</f>
        <v>0</v>
      </c>
      <c r="E162" s="13">
        <f t="shared" ref="E162:J162" si="114">SUM(E163:E164)</f>
        <v>0</v>
      </c>
      <c r="F162" s="18">
        <f t="shared" si="114"/>
        <v>0</v>
      </c>
      <c r="G162" s="18">
        <f t="shared" si="114"/>
        <v>7500</v>
      </c>
      <c r="H162" s="18">
        <f t="shared" si="114"/>
        <v>0</v>
      </c>
      <c r="I162" s="18">
        <f t="shared" si="114"/>
        <v>0</v>
      </c>
      <c r="J162" s="13">
        <f t="shared" si="114"/>
        <v>0</v>
      </c>
      <c r="K162" s="13">
        <f t="shared" ref="K162:L162" si="115">SUM(K163:K164)</f>
        <v>0</v>
      </c>
      <c r="L162" s="13">
        <f t="shared" si="115"/>
        <v>0</v>
      </c>
    </row>
    <row r="163" spans="1:12" x14ac:dyDescent="0.25">
      <c r="A163" s="34"/>
      <c r="B163" s="34"/>
      <c r="C163" s="1" t="s">
        <v>61</v>
      </c>
      <c r="D163" s="13">
        <v>0</v>
      </c>
      <c r="E163" s="13">
        <v>0</v>
      </c>
      <c r="F163" s="18">
        <v>0</v>
      </c>
      <c r="G163" s="18">
        <v>7500</v>
      </c>
      <c r="H163" s="18">
        <v>0</v>
      </c>
      <c r="I163" s="18">
        <v>0</v>
      </c>
      <c r="J163" s="13">
        <v>0</v>
      </c>
      <c r="K163" s="13">
        <v>0</v>
      </c>
      <c r="L163" s="13">
        <v>0</v>
      </c>
    </row>
    <row r="164" spans="1:12" ht="17.25" customHeight="1" x14ac:dyDescent="0.25">
      <c r="A164" s="35"/>
      <c r="B164" s="35"/>
      <c r="C164" s="1" t="s">
        <v>62</v>
      </c>
      <c r="D164" s="13"/>
      <c r="E164" s="13"/>
      <c r="F164" s="18"/>
      <c r="G164" s="18"/>
      <c r="H164" s="18"/>
      <c r="I164" s="18"/>
      <c r="J164" s="13"/>
      <c r="K164" s="13"/>
      <c r="L164" s="13"/>
    </row>
    <row r="165" spans="1:12" x14ac:dyDescent="0.25">
      <c r="A165" s="33" t="s">
        <v>127</v>
      </c>
      <c r="B165" s="33" t="s">
        <v>128</v>
      </c>
      <c r="C165" s="1" t="s">
        <v>60</v>
      </c>
      <c r="D165" s="13">
        <f>SUM(D166:D167)</f>
        <v>0</v>
      </c>
      <c r="E165" s="13">
        <f t="shared" ref="E165:J165" si="116">SUM(E166:E167)</f>
        <v>0</v>
      </c>
      <c r="F165" s="18">
        <f t="shared" si="116"/>
        <v>0</v>
      </c>
      <c r="G165" s="18">
        <f t="shared" si="116"/>
        <v>0</v>
      </c>
      <c r="H165" s="18">
        <f t="shared" si="116"/>
        <v>0</v>
      </c>
      <c r="I165" s="18">
        <f t="shared" si="116"/>
        <v>300</v>
      </c>
      <c r="J165" s="13">
        <f t="shared" si="116"/>
        <v>0</v>
      </c>
      <c r="K165" s="13">
        <f t="shared" ref="K165:L165" si="117">SUM(K166:K167)</f>
        <v>0</v>
      </c>
      <c r="L165" s="13">
        <f t="shared" si="117"/>
        <v>0</v>
      </c>
    </row>
    <row r="166" spans="1:12" x14ac:dyDescent="0.25">
      <c r="A166" s="34"/>
      <c r="B166" s="34"/>
      <c r="C166" s="1" t="s">
        <v>61</v>
      </c>
      <c r="D166" s="13">
        <v>0</v>
      </c>
      <c r="E166" s="13">
        <v>0</v>
      </c>
      <c r="F166" s="18">
        <v>0</v>
      </c>
      <c r="G166" s="18">
        <v>0</v>
      </c>
      <c r="H166" s="18">
        <v>0</v>
      </c>
      <c r="I166" s="18">
        <v>300</v>
      </c>
      <c r="J166" s="13">
        <v>0</v>
      </c>
      <c r="K166" s="13">
        <v>0</v>
      </c>
      <c r="L166" s="13">
        <v>0</v>
      </c>
    </row>
    <row r="167" spans="1:12" ht="17.25" customHeight="1" x14ac:dyDescent="0.25">
      <c r="A167" s="35"/>
      <c r="B167" s="35"/>
      <c r="C167" s="1" t="s">
        <v>62</v>
      </c>
      <c r="D167" s="13"/>
      <c r="E167" s="13"/>
      <c r="F167" s="18"/>
      <c r="G167" s="18"/>
      <c r="H167" s="18"/>
      <c r="I167" s="78"/>
      <c r="J167" s="13"/>
      <c r="K167" s="13"/>
      <c r="L167" s="13"/>
    </row>
    <row r="168" spans="1:12" ht="13.95" customHeight="1" x14ac:dyDescent="0.25">
      <c r="A168" s="41" t="s">
        <v>34</v>
      </c>
      <c r="B168" s="41" t="s">
        <v>35</v>
      </c>
      <c r="C168" s="28" t="s">
        <v>60</v>
      </c>
      <c r="D168" s="15">
        <f>SUM(D169:D171)</f>
        <v>25267.873999999996</v>
      </c>
      <c r="E168" s="15">
        <f t="shared" ref="E168:J168" si="118">SUM(E169:E171)</f>
        <v>23319.319</v>
      </c>
      <c r="F168" s="15">
        <f t="shared" si="118"/>
        <v>18178.423999999999</v>
      </c>
      <c r="G168" s="15">
        <f t="shared" si="118"/>
        <v>18167.117999999999</v>
      </c>
      <c r="H168" s="15">
        <f t="shared" si="118"/>
        <v>21308.097000000002</v>
      </c>
      <c r="I168" s="19">
        <f t="shared" si="118"/>
        <v>21668.732</v>
      </c>
      <c r="J168" s="15">
        <f t="shared" si="118"/>
        <v>23310.924999999999</v>
      </c>
      <c r="K168" s="15">
        <f t="shared" ref="K168:L168" si="119">SUM(K169:K171)</f>
        <v>21597.510999999999</v>
      </c>
      <c r="L168" s="15">
        <f t="shared" si="119"/>
        <v>16097.511000000002</v>
      </c>
    </row>
    <row r="169" spans="1:12" x14ac:dyDescent="0.25">
      <c r="A169" s="42"/>
      <c r="B169" s="42"/>
      <c r="C169" s="28" t="s">
        <v>61</v>
      </c>
      <c r="D169" s="15">
        <f>D173+D176+D179+D182+D185+D188+D194+D198+D202+D205+D214+D217+D220+D223+D226+D229+D191+D232+D208</f>
        <v>22921.433999999997</v>
      </c>
      <c r="E169" s="15">
        <f t="shared" ref="E169:J169" si="120">E173+E176+E179+E182+E185+E188+E194+E198+E202+E205+E214+E217+E220+E223+E226+E229+E191+E232+E208</f>
        <v>22111.694</v>
      </c>
      <c r="F169" s="19">
        <f t="shared" si="120"/>
        <v>16684.224999999999</v>
      </c>
      <c r="G169" s="19">
        <f t="shared" si="120"/>
        <v>16783.182000000001</v>
      </c>
      <c r="H169" s="19">
        <f>H173+H176+H179+H182+H185+H188+H194+H198+H202+H205+H214+H217+H220+H223+H226+H229+H191+H232+H208</f>
        <v>19856.108</v>
      </c>
      <c r="I169" s="19">
        <f>I173+I176+I179+I182+I185+I188+I194+I198+I202+I205+I214+I217+I220+I223+I226+I229+I191+I232+I208+I211</f>
        <v>16507.213</v>
      </c>
      <c r="J169" s="15">
        <f t="shared" si="120"/>
        <v>18064.781999999999</v>
      </c>
      <c r="K169" s="15">
        <f t="shared" ref="K169:L169" si="121">K173+K176+K179+K182+K185+K188+K194+K198+K202+K205+K214+K217+K220+K223+K226+K229+K191+K232+K208</f>
        <v>16594.510999999999</v>
      </c>
      <c r="L169" s="15">
        <f t="shared" si="121"/>
        <v>10689.711000000001</v>
      </c>
    </row>
    <row r="170" spans="1:12" x14ac:dyDescent="0.25">
      <c r="A170" s="42"/>
      <c r="B170" s="42"/>
      <c r="C170" s="28" t="s">
        <v>62</v>
      </c>
      <c r="D170" s="15">
        <f>D174+D177+D180+D183+D186+D189+D195+D199+D203+D206+D215+D218+D221+D224+D227+D230+D236+D209+D233</f>
        <v>2106.44</v>
      </c>
      <c r="E170" s="15">
        <f t="shared" ref="E170:J170" si="122">E174+E177+E180+E183+E186+E189+E195+E199+E203+E206+E215+E218+E221+E224+E227+E230+E236+E209+E233</f>
        <v>745.92499999999995</v>
      </c>
      <c r="F170" s="19">
        <f t="shared" si="122"/>
        <v>885.61400000000003</v>
      </c>
      <c r="G170" s="19">
        <f t="shared" si="122"/>
        <v>1184.942</v>
      </c>
      <c r="H170" s="19">
        <f t="shared" si="122"/>
        <v>1141.7910000000002</v>
      </c>
      <c r="I170" s="19">
        <f>I174+I177+I180+I183+I186+I189+I195+I199+I203+I206+I215+I218+I221+I224+I227+I230+I236+I209+I233+I212</f>
        <v>4964.96</v>
      </c>
      <c r="J170" s="15">
        <f t="shared" si="122"/>
        <v>4906.1610000000001</v>
      </c>
      <c r="K170" s="15">
        <f t="shared" ref="K170:L170" si="123">K174+K177+K180+K183+K186+K189+K195+K199+K203+K206+K215+K218+K221+K224+K227+K230+K236+K209+K233</f>
        <v>5003</v>
      </c>
      <c r="L170" s="15">
        <f t="shared" si="123"/>
        <v>5407.8</v>
      </c>
    </row>
    <row r="171" spans="1:12" s="21" customFormat="1" x14ac:dyDescent="0.25">
      <c r="A171" s="43"/>
      <c r="B171" s="43"/>
      <c r="C171" s="30" t="s">
        <v>133</v>
      </c>
      <c r="D171" s="19">
        <f>D196+D200</f>
        <v>240</v>
      </c>
      <c r="E171" s="19">
        <f t="shared" ref="E171:J171" si="124">E196+E200</f>
        <v>461.7</v>
      </c>
      <c r="F171" s="19">
        <f t="shared" si="124"/>
        <v>608.58500000000004</v>
      </c>
      <c r="G171" s="19">
        <f t="shared" si="124"/>
        <v>198.994</v>
      </c>
      <c r="H171" s="19">
        <f t="shared" si="124"/>
        <v>310.19799999999998</v>
      </c>
      <c r="I171" s="19">
        <f t="shared" si="124"/>
        <v>196.559</v>
      </c>
      <c r="J171" s="19">
        <f t="shared" si="124"/>
        <v>339.98200000000003</v>
      </c>
      <c r="K171" s="19">
        <f t="shared" ref="K171:L171" si="125">K196+K200</f>
        <v>0</v>
      </c>
      <c r="L171" s="19">
        <f t="shared" si="125"/>
        <v>0</v>
      </c>
    </row>
    <row r="172" spans="1:12" ht="18" customHeight="1" x14ac:dyDescent="0.25">
      <c r="A172" s="33" t="s">
        <v>89</v>
      </c>
      <c r="B172" s="36" t="s">
        <v>36</v>
      </c>
      <c r="C172" s="1" t="s">
        <v>60</v>
      </c>
      <c r="D172" s="13">
        <f>SUM(D173:D174)</f>
        <v>6</v>
      </c>
      <c r="E172" s="13">
        <f t="shared" ref="E172:J172" si="126">SUM(E173:E174)</f>
        <v>6</v>
      </c>
      <c r="F172" s="18">
        <f t="shared" si="126"/>
        <v>6</v>
      </c>
      <c r="G172" s="18">
        <f t="shared" si="126"/>
        <v>0</v>
      </c>
      <c r="H172" s="18">
        <f t="shared" si="126"/>
        <v>0</v>
      </c>
      <c r="I172" s="18">
        <f t="shared" si="126"/>
        <v>0</v>
      </c>
      <c r="J172" s="13">
        <f t="shared" si="126"/>
        <v>0</v>
      </c>
      <c r="K172" s="13">
        <f t="shared" ref="K172:L172" si="127">SUM(K173:K174)</f>
        <v>0</v>
      </c>
      <c r="L172" s="13">
        <f t="shared" si="127"/>
        <v>0</v>
      </c>
    </row>
    <row r="173" spans="1:12" ht="18" customHeight="1" x14ac:dyDescent="0.25">
      <c r="A173" s="34"/>
      <c r="B173" s="36"/>
      <c r="C173" s="1" t="s">
        <v>61</v>
      </c>
      <c r="D173" s="13">
        <v>6</v>
      </c>
      <c r="E173" s="13">
        <v>6</v>
      </c>
      <c r="F173" s="18">
        <v>6</v>
      </c>
      <c r="G173" s="18">
        <v>0</v>
      </c>
      <c r="H173" s="18">
        <v>0</v>
      </c>
      <c r="I173" s="18">
        <v>0</v>
      </c>
      <c r="J173" s="13">
        <v>0</v>
      </c>
      <c r="K173" s="13">
        <v>0</v>
      </c>
      <c r="L173" s="13">
        <v>0</v>
      </c>
    </row>
    <row r="174" spans="1:12" ht="24" customHeight="1" x14ac:dyDescent="0.25">
      <c r="A174" s="35"/>
      <c r="B174" s="36"/>
      <c r="C174" s="1" t="s">
        <v>62</v>
      </c>
      <c r="D174" s="13"/>
      <c r="E174" s="13"/>
      <c r="F174" s="18"/>
      <c r="G174" s="18"/>
      <c r="H174" s="18"/>
      <c r="I174" s="18"/>
      <c r="J174" s="13"/>
      <c r="K174" s="13"/>
      <c r="L174" s="13"/>
    </row>
    <row r="175" spans="1:12" x14ac:dyDescent="0.25">
      <c r="A175" s="33" t="s">
        <v>90</v>
      </c>
      <c r="B175" s="33" t="s">
        <v>37</v>
      </c>
      <c r="C175" s="1" t="s">
        <v>60</v>
      </c>
      <c r="D175" s="13">
        <f>SUM(D176:D177)</f>
        <v>800</v>
      </c>
      <c r="E175" s="13">
        <f t="shared" ref="E175" si="128">SUM(E176:E177)</f>
        <v>800</v>
      </c>
      <c r="F175" s="18">
        <f t="shared" ref="F175" si="129">SUM(F176:F177)</f>
        <v>800</v>
      </c>
      <c r="G175" s="18">
        <f t="shared" ref="G175" si="130">SUM(G176:G177)</f>
        <v>800</v>
      </c>
      <c r="H175" s="18">
        <f t="shared" ref="H175" si="131">SUM(H176:H177)</f>
        <v>500</v>
      </c>
      <c r="I175" s="18">
        <f t="shared" ref="I175" si="132">SUM(I176:I177)</f>
        <v>473.62599999999998</v>
      </c>
      <c r="J175" s="13">
        <f t="shared" ref="J175:L175" si="133">SUM(J176:J177)</f>
        <v>500</v>
      </c>
      <c r="K175" s="13">
        <f t="shared" si="133"/>
        <v>500</v>
      </c>
      <c r="L175" s="13">
        <f t="shared" si="133"/>
        <v>0</v>
      </c>
    </row>
    <row r="176" spans="1:12" x14ac:dyDescent="0.25">
      <c r="A176" s="34"/>
      <c r="B176" s="34"/>
      <c r="C176" s="1" t="s">
        <v>61</v>
      </c>
      <c r="D176" s="13">
        <v>800</v>
      </c>
      <c r="E176" s="13">
        <v>800</v>
      </c>
      <c r="F176" s="18">
        <v>800</v>
      </c>
      <c r="G176" s="18">
        <v>800</v>
      </c>
      <c r="H176" s="18">
        <v>500</v>
      </c>
      <c r="I176" s="18">
        <f>500-26.374</f>
        <v>473.62599999999998</v>
      </c>
      <c r="J176" s="13">
        <v>500</v>
      </c>
      <c r="K176" s="13">
        <v>500</v>
      </c>
      <c r="L176" s="13"/>
    </row>
    <row r="177" spans="1:12" ht="18.75" customHeight="1" x14ac:dyDescent="0.25">
      <c r="A177" s="35"/>
      <c r="B177" s="35"/>
      <c r="C177" s="1" t="s">
        <v>62</v>
      </c>
      <c r="D177" s="13"/>
      <c r="E177" s="13"/>
      <c r="F177" s="18"/>
      <c r="G177" s="18"/>
      <c r="H177" s="18"/>
      <c r="I177" s="18"/>
      <c r="J177" s="13">
        <v>0</v>
      </c>
      <c r="K177" s="13">
        <v>0</v>
      </c>
      <c r="L177" s="13">
        <v>0</v>
      </c>
    </row>
    <row r="178" spans="1:12" x14ac:dyDescent="0.25">
      <c r="A178" s="33" t="s">
        <v>90</v>
      </c>
      <c r="B178" s="36" t="s">
        <v>38</v>
      </c>
      <c r="C178" s="1" t="s">
        <v>60</v>
      </c>
      <c r="D178" s="13">
        <f>SUM(D179:D180)</f>
        <v>9</v>
      </c>
      <c r="E178" s="13">
        <f t="shared" ref="E178" si="134">SUM(E179:E180)</f>
        <v>9</v>
      </c>
      <c r="F178" s="18">
        <f t="shared" ref="F178" si="135">SUM(F179:F180)</f>
        <v>0</v>
      </c>
      <c r="G178" s="18">
        <f t="shared" ref="G178" si="136">SUM(G179:G180)</f>
        <v>0</v>
      </c>
      <c r="H178" s="18">
        <f t="shared" ref="H178" si="137">SUM(H179:H180)</f>
        <v>0</v>
      </c>
      <c r="I178" s="18">
        <f t="shared" ref="I178" si="138">SUM(I179:I180)</f>
        <v>0</v>
      </c>
      <c r="J178" s="13">
        <f t="shared" ref="J178:L178" si="139">SUM(J179:J180)</f>
        <v>0</v>
      </c>
      <c r="K178" s="13">
        <f t="shared" si="139"/>
        <v>0</v>
      </c>
      <c r="L178" s="13">
        <f t="shared" si="139"/>
        <v>0</v>
      </c>
    </row>
    <row r="179" spans="1:12" x14ac:dyDescent="0.25">
      <c r="A179" s="34"/>
      <c r="B179" s="36"/>
      <c r="C179" s="1" t="s">
        <v>61</v>
      </c>
      <c r="D179" s="13">
        <v>9</v>
      </c>
      <c r="E179" s="13">
        <v>9</v>
      </c>
      <c r="F179" s="18">
        <v>0</v>
      </c>
      <c r="G179" s="18">
        <v>0</v>
      </c>
      <c r="H179" s="18">
        <v>0</v>
      </c>
      <c r="I179" s="18">
        <v>0</v>
      </c>
      <c r="J179" s="13">
        <v>0</v>
      </c>
      <c r="K179" s="13">
        <v>0</v>
      </c>
      <c r="L179" s="13">
        <v>0</v>
      </c>
    </row>
    <row r="180" spans="1:12" ht="15" customHeight="1" x14ac:dyDescent="0.25">
      <c r="A180" s="35"/>
      <c r="B180" s="36"/>
      <c r="C180" s="1" t="s">
        <v>62</v>
      </c>
      <c r="D180" s="13"/>
      <c r="E180" s="13"/>
      <c r="F180" s="18"/>
      <c r="G180" s="18"/>
      <c r="H180" s="18"/>
      <c r="I180" s="18"/>
      <c r="J180" s="13"/>
      <c r="K180" s="13"/>
      <c r="L180" s="13"/>
    </row>
    <row r="181" spans="1:12" x14ac:dyDescent="0.25">
      <c r="A181" s="33" t="s">
        <v>91</v>
      </c>
      <c r="B181" s="33" t="s">
        <v>39</v>
      </c>
      <c r="C181" s="1" t="s">
        <v>60</v>
      </c>
      <c r="D181" s="13">
        <f>SUM(D182:D183)</f>
        <v>187.5</v>
      </c>
      <c r="E181" s="13">
        <f t="shared" ref="E181" si="140">SUM(E182:E183)</f>
        <v>77.433000000000007</v>
      </c>
      <c r="F181" s="18">
        <f t="shared" ref="F181" si="141">SUM(F182:F183)</f>
        <v>46.39</v>
      </c>
      <c r="G181" s="18">
        <f t="shared" ref="G181" si="142">SUM(G182:G183)</f>
        <v>0</v>
      </c>
      <c r="H181" s="18">
        <f t="shared" ref="H181" si="143">SUM(H182:H183)</f>
        <v>0</v>
      </c>
      <c r="I181" s="18">
        <f t="shared" ref="I181" si="144">SUM(I182:I183)</f>
        <v>0</v>
      </c>
      <c r="J181" s="13">
        <f t="shared" ref="J181:L181" si="145">SUM(J182:J183)</f>
        <v>0</v>
      </c>
      <c r="K181" s="13">
        <f t="shared" si="145"/>
        <v>0</v>
      </c>
      <c r="L181" s="13">
        <f t="shared" si="145"/>
        <v>0</v>
      </c>
    </row>
    <row r="182" spans="1:12" x14ac:dyDescent="0.25">
      <c r="A182" s="34"/>
      <c r="B182" s="34"/>
      <c r="C182" s="1" t="s">
        <v>61</v>
      </c>
      <c r="D182" s="13">
        <v>187.5</v>
      </c>
      <c r="E182" s="13">
        <v>77.433000000000007</v>
      </c>
      <c r="F182" s="18">
        <v>46.39</v>
      </c>
      <c r="G182" s="18">
        <v>0</v>
      </c>
      <c r="H182" s="18">
        <v>0</v>
      </c>
      <c r="I182" s="18">
        <v>0</v>
      </c>
      <c r="J182" s="13">
        <v>0</v>
      </c>
      <c r="K182" s="13">
        <v>0</v>
      </c>
      <c r="L182" s="13">
        <v>0</v>
      </c>
    </row>
    <row r="183" spans="1:12" ht="18.75" customHeight="1" x14ac:dyDescent="0.25">
      <c r="A183" s="35"/>
      <c r="B183" s="35"/>
      <c r="C183" s="1" t="s">
        <v>62</v>
      </c>
      <c r="D183" s="13"/>
      <c r="E183" s="13"/>
      <c r="F183" s="18"/>
      <c r="G183" s="18"/>
      <c r="H183" s="18"/>
      <c r="I183" s="18"/>
      <c r="J183" s="13"/>
      <c r="K183" s="13"/>
      <c r="L183" s="13"/>
    </row>
    <row r="184" spans="1:12" x14ac:dyDescent="0.25">
      <c r="A184" s="33" t="s">
        <v>92</v>
      </c>
      <c r="B184" s="36" t="s">
        <v>40</v>
      </c>
      <c r="C184" s="1" t="s">
        <v>60</v>
      </c>
      <c r="D184" s="13">
        <f>SUM(D185:D186)</f>
        <v>0</v>
      </c>
      <c r="E184" s="13">
        <f t="shared" ref="E184" si="146">SUM(E185:E186)</f>
        <v>0</v>
      </c>
      <c r="F184" s="18">
        <f t="shared" ref="F184" si="147">SUM(F185:F186)</f>
        <v>0</v>
      </c>
      <c r="G184" s="18">
        <f t="shared" ref="G184" si="148">SUM(G185:G186)</f>
        <v>0</v>
      </c>
      <c r="H184" s="18">
        <f t="shared" ref="H184" si="149">SUM(H185:H186)</f>
        <v>0</v>
      </c>
      <c r="I184" s="18">
        <f t="shared" ref="I184" si="150">SUM(I185:I186)</f>
        <v>0</v>
      </c>
      <c r="J184" s="13">
        <f t="shared" ref="J184:L184" si="151">SUM(J185:J186)</f>
        <v>0</v>
      </c>
      <c r="K184" s="13">
        <f t="shared" si="151"/>
        <v>0</v>
      </c>
      <c r="L184" s="13">
        <f t="shared" si="151"/>
        <v>0</v>
      </c>
    </row>
    <row r="185" spans="1:12" x14ac:dyDescent="0.25">
      <c r="A185" s="34"/>
      <c r="B185" s="36"/>
      <c r="C185" s="1" t="s">
        <v>61</v>
      </c>
      <c r="D185" s="13"/>
      <c r="E185" s="13"/>
      <c r="F185" s="18"/>
      <c r="G185" s="18"/>
      <c r="H185" s="18"/>
      <c r="I185" s="18"/>
      <c r="J185" s="13"/>
      <c r="K185" s="13"/>
      <c r="L185" s="13"/>
    </row>
    <row r="186" spans="1:12" ht="21.75" customHeight="1" x14ac:dyDescent="0.25">
      <c r="A186" s="35"/>
      <c r="B186" s="36"/>
      <c r="C186" s="1" t="s">
        <v>62</v>
      </c>
      <c r="D186" s="13"/>
      <c r="E186" s="13"/>
      <c r="F186" s="18"/>
      <c r="G186" s="18"/>
      <c r="H186" s="18"/>
      <c r="I186" s="18"/>
      <c r="J186" s="13"/>
      <c r="K186" s="13"/>
      <c r="L186" s="13"/>
    </row>
    <row r="187" spans="1:12" ht="16.95" customHeight="1" x14ac:dyDescent="0.25">
      <c r="A187" s="33" t="s">
        <v>93</v>
      </c>
      <c r="B187" s="36" t="s">
        <v>142</v>
      </c>
      <c r="C187" s="1" t="s">
        <v>60</v>
      </c>
      <c r="D187" s="13">
        <f>SUM(D188:D189)</f>
        <v>192</v>
      </c>
      <c r="E187" s="13">
        <f t="shared" ref="E187" si="152">SUM(E188:E189)</f>
        <v>227.3</v>
      </c>
      <c r="F187" s="18">
        <f t="shared" ref="F187" si="153">SUM(F188:F189)</f>
        <v>0</v>
      </c>
      <c r="G187" s="18">
        <f t="shared" ref="G187" si="154">SUM(G188:G189)</f>
        <v>7</v>
      </c>
      <c r="H187" s="18">
        <f t="shared" ref="H187" si="155">SUM(H188:H189)</f>
        <v>0</v>
      </c>
      <c r="I187" s="18">
        <f t="shared" ref="I187" si="156">SUM(I188:I189)</f>
        <v>0</v>
      </c>
      <c r="J187" s="13">
        <f t="shared" ref="J187:L187" si="157">SUM(J188:J189)</f>
        <v>0</v>
      </c>
      <c r="K187" s="13">
        <f t="shared" si="157"/>
        <v>0</v>
      </c>
      <c r="L187" s="13">
        <f t="shared" si="157"/>
        <v>0</v>
      </c>
    </row>
    <row r="188" spans="1:12" ht="18.600000000000001" customHeight="1" x14ac:dyDescent="0.25">
      <c r="A188" s="34"/>
      <c r="B188" s="36"/>
      <c r="C188" s="1" t="s">
        <v>61</v>
      </c>
      <c r="D188" s="13">
        <v>192</v>
      </c>
      <c r="E188" s="13">
        <v>227.3</v>
      </c>
      <c r="F188" s="18">
        <v>0</v>
      </c>
      <c r="G188" s="18">
        <v>7</v>
      </c>
      <c r="H188" s="18">
        <v>0</v>
      </c>
      <c r="I188" s="18">
        <v>0</v>
      </c>
      <c r="J188" s="13">
        <v>0</v>
      </c>
      <c r="K188" s="13">
        <v>0</v>
      </c>
      <c r="L188" s="13">
        <v>0</v>
      </c>
    </row>
    <row r="189" spans="1:12" ht="18.600000000000001" customHeight="1" x14ac:dyDescent="0.25">
      <c r="A189" s="35"/>
      <c r="B189" s="36"/>
      <c r="C189" s="1" t="s">
        <v>62</v>
      </c>
      <c r="D189" s="13"/>
      <c r="E189" s="13"/>
      <c r="F189" s="18"/>
      <c r="G189" s="18"/>
      <c r="H189" s="18"/>
      <c r="I189" s="18"/>
      <c r="J189" s="13"/>
      <c r="K189" s="13"/>
      <c r="L189" s="13"/>
    </row>
    <row r="190" spans="1:12" ht="19.2" customHeight="1" x14ac:dyDescent="0.25">
      <c r="A190" s="33" t="s">
        <v>106</v>
      </c>
      <c r="B190" s="36" t="s">
        <v>143</v>
      </c>
      <c r="C190" s="1" t="s">
        <v>60</v>
      </c>
      <c r="D190" s="13">
        <f>SUM(D191:D192)</f>
        <v>0</v>
      </c>
      <c r="E190" s="13">
        <f t="shared" ref="E190:J190" si="158">SUM(E191:E192)</f>
        <v>0</v>
      </c>
      <c r="F190" s="18">
        <f t="shared" si="158"/>
        <v>169.04599999999999</v>
      </c>
      <c r="G190" s="18">
        <f t="shared" si="158"/>
        <v>38</v>
      </c>
      <c r="H190" s="18">
        <f t="shared" si="158"/>
        <v>70</v>
      </c>
      <c r="I190" s="18">
        <f t="shared" si="158"/>
        <v>0</v>
      </c>
      <c r="J190" s="13">
        <f t="shared" si="158"/>
        <v>0</v>
      </c>
      <c r="K190" s="13">
        <f t="shared" ref="K190:L190" si="159">SUM(K191:K192)</f>
        <v>0</v>
      </c>
      <c r="L190" s="13">
        <f t="shared" si="159"/>
        <v>0</v>
      </c>
    </row>
    <row r="191" spans="1:12" ht="19.2" customHeight="1" x14ac:dyDescent="0.25">
      <c r="A191" s="34"/>
      <c r="B191" s="36"/>
      <c r="C191" s="1" t="s">
        <v>61</v>
      </c>
      <c r="D191" s="13">
        <v>0</v>
      </c>
      <c r="E191" s="13">
        <v>0</v>
      </c>
      <c r="F191" s="18">
        <v>169.04599999999999</v>
      </c>
      <c r="G191" s="18">
        <v>38</v>
      </c>
      <c r="H191" s="18">
        <v>70</v>
      </c>
      <c r="I191" s="18">
        <v>0</v>
      </c>
      <c r="J191" s="13">
        <v>0</v>
      </c>
      <c r="K191" s="13">
        <v>0</v>
      </c>
      <c r="L191" s="13">
        <v>0</v>
      </c>
    </row>
    <row r="192" spans="1:12" ht="19.2" customHeight="1" x14ac:dyDescent="0.25">
      <c r="A192" s="35"/>
      <c r="B192" s="36"/>
      <c r="C192" s="1" t="s">
        <v>62</v>
      </c>
      <c r="D192" s="13"/>
      <c r="E192" s="13"/>
      <c r="F192" s="18"/>
      <c r="G192" s="18"/>
      <c r="H192" s="18"/>
      <c r="I192" s="18"/>
      <c r="J192" s="13"/>
      <c r="K192" s="13"/>
      <c r="L192" s="13"/>
    </row>
    <row r="193" spans="1:12" ht="19.95" customHeight="1" x14ac:dyDescent="0.25">
      <c r="A193" s="44" t="s">
        <v>94</v>
      </c>
      <c r="B193" s="44" t="s">
        <v>137</v>
      </c>
      <c r="C193" s="1" t="s">
        <v>60</v>
      </c>
      <c r="D193" s="13">
        <f>SUM(D194:D195)</f>
        <v>1328.134</v>
      </c>
      <c r="E193" s="13">
        <f t="shared" ref="E193" si="160">SUM(E194:E195)</f>
        <v>761.1</v>
      </c>
      <c r="F193" s="18">
        <f t="shared" ref="F193" si="161">SUM(F194:F195)</f>
        <v>761.1</v>
      </c>
      <c r="G193" s="18">
        <f t="shared" ref="G193" si="162">SUM(G194:G195)</f>
        <v>778.8420000000001</v>
      </c>
      <c r="H193" s="18">
        <f t="shared" ref="H193" si="163">SUM(H194:H195)</f>
        <v>750.76</v>
      </c>
      <c r="I193" s="18">
        <f>SUM(I194:I196)</f>
        <v>1006.274</v>
      </c>
      <c r="J193" s="13">
        <f>SUM(J194:J196)</f>
        <v>826.06099999999992</v>
      </c>
      <c r="K193" s="13">
        <f t="shared" ref="K193:L193" si="164">SUM(K194:K195)</f>
        <v>253.7</v>
      </c>
      <c r="L193" s="13">
        <f t="shared" si="164"/>
        <v>253.7</v>
      </c>
    </row>
    <row r="194" spans="1:12" ht="19.95" customHeight="1" x14ac:dyDescent="0.25">
      <c r="A194" s="45"/>
      <c r="B194" s="45"/>
      <c r="C194" s="1" t="s">
        <v>61</v>
      </c>
      <c r="D194" s="13">
        <v>1328.134</v>
      </c>
      <c r="E194" s="13">
        <v>761.1</v>
      </c>
      <c r="F194" s="18">
        <v>761.1</v>
      </c>
      <c r="G194" s="18">
        <v>253.7</v>
      </c>
      <c r="H194" s="18">
        <v>393.74900000000002</v>
      </c>
      <c r="I194" s="18">
        <v>482.94400000000002</v>
      </c>
      <c r="J194" s="13">
        <v>266.81799999999998</v>
      </c>
      <c r="K194" s="13">
        <v>253.7</v>
      </c>
      <c r="L194" s="13">
        <v>253.7</v>
      </c>
    </row>
    <row r="195" spans="1:12" s="21" customFormat="1" ht="15.75" customHeight="1" x14ac:dyDescent="0.25">
      <c r="A195" s="45"/>
      <c r="B195" s="45"/>
      <c r="C195" s="22" t="s">
        <v>62</v>
      </c>
      <c r="D195" s="18">
        <v>0</v>
      </c>
      <c r="E195" s="18">
        <v>0</v>
      </c>
      <c r="F195" s="18">
        <v>0</v>
      </c>
      <c r="G195" s="18">
        <v>525.14200000000005</v>
      </c>
      <c r="H195" s="18">
        <v>357.01100000000002</v>
      </c>
      <c r="I195" s="18">
        <v>326.77100000000002</v>
      </c>
      <c r="J195" s="18">
        <v>219.261</v>
      </c>
      <c r="K195" s="18">
        <v>0</v>
      </c>
      <c r="L195" s="18">
        <v>0</v>
      </c>
    </row>
    <row r="196" spans="1:12" s="21" customFormat="1" ht="32.4" customHeight="1" x14ac:dyDescent="0.25">
      <c r="A196" s="45"/>
      <c r="B196" s="46"/>
      <c r="C196" s="22" t="s">
        <v>133</v>
      </c>
      <c r="D196" s="18">
        <v>0</v>
      </c>
      <c r="E196" s="18">
        <v>0</v>
      </c>
      <c r="F196" s="18">
        <v>0</v>
      </c>
      <c r="G196" s="18">
        <v>198.994</v>
      </c>
      <c r="H196" s="18">
        <v>310.19799999999998</v>
      </c>
      <c r="I196" s="18">
        <v>196.559</v>
      </c>
      <c r="J196" s="18">
        <v>339.98200000000003</v>
      </c>
      <c r="K196" s="18">
        <v>0</v>
      </c>
      <c r="L196" s="18">
        <v>0</v>
      </c>
    </row>
    <row r="197" spans="1:12" ht="19.95" customHeight="1" x14ac:dyDescent="0.25">
      <c r="A197" s="45"/>
      <c r="B197" s="44" t="s">
        <v>41</v>
      </c>
      <c r="C197" s="1" t="s">
        <v>60</v>
      </c>
      <c r="D197" s="13">
        <f>SUM(D198:D200)</f>
        <v>240</v>
      </c>
      <c r="E197" s="13">
        <f t="shared" ref="E197:J197" si="165">SUM(E198:E200)</f>
        <v>461.7</v>
      </c>
      <c r="F197" s="13">
        <f t="shared" si="165"/>
        <v>608.58500000000004</v>
      </c>
      <c r="G197" s="13">
        <f t="shared" si="165"/>
        <v>0</v>
      </c>
      <c r="H197" s="13">
        <f t="shared" si="165"/>
        <v>0</v>
      </c>
      <c r="I197" s="18">
        <f t="shared" si="165"/>
        <v>0</v>
      </c>
      <c r="J197" s="13">
        <f t="shared" si="165"/>
        <v>0</v>
      </c>
      <c r="K197" s="13">
        <f t="shared" ref="K197:L197" si="166">SUM(K198:K200)</f>
        <v>0</v>
      </c>
      <c r="L197" s="13">
        <f t="shared" si="166"/>
        <v>0</v>
      </c>
    </row>
    <row r="198" spans="1:12" ht="19.95" customHeight="1" x14ac:dyDescent="0.25">
      <c r="A198" s="45"/>
      <c r="B198" s="45"/>
      <c r="C198" s="1" t="s">
        <v>61</v>
      </c>
      <c r="D198" s="13"/>
      <c r="E198" s="13"/>
      <c r="F198" s="18"/>
      <c r="G198" s="18"/>
      <c r="H198" s="18"/>
      <c r="I198" s="18"/>
      <c r="J198" s="13"/>
      <c r="K198" s="13"/>
      <c r="L198" s="13"/>
    </row>
    <row r="199" spans="1:12" ht="19.95" customHeight="1" x14ac:dyDescent="0.25">
      <c r="A199" s="45"/>
      <c r="B199" s="45"/>
      <c r="C199" s="1" t="s">
        <v>62</v>
      </c>
      <c r="D199" s="13">
        <v>0</v>
      </c>
      <c r="E199" s="13">
        <v>0</v>
      </c>
      <c r="F199" s="18">
        <v>0</v>
      </c>
      <c r="G199" s="18">
        <v>0</v>
      </c>
      <c r="H199" s="18">
        <v>0</v>
      </c>
      <c r="I199" s="18">
        <v>0</v>
      </c>
      <c r="J199" s="13">
        <v>0</v>
      </c>
      <c r="K199" s="13">
        <v>0</v>
      </c>
      <c r="L199" s="13">
        <v>0</v>
      </c>
    </row>
    <row r="200" spans="1:12" s="21" customFormat="1" ht="19.95" customHeight="1" x14ac:dyDescent="0.25">
      <c r="A200" s="45"/>
      <c r="B200" s="46"/>
      <c r="C200" s="22" t="s">
        <v>133</v>
      </c>
      <c r="D200" s="18">
        <v>240</v>
      </c>
      <c r="E200" s="18">
        <v>461.7</v>
      </c>
      <c r="F200" s="18">
        <v>608.58500000000004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</row>
    <row r="201" spans="1:12" ht="30" customHeight="1" x14ac:dyDescent="0.25">
      <c r="A201" s="45"/>
      <c r="B201" s="53" t="s">
        <v>42</v>
      </c>
      <c r="C201" s="1" t="s">
        <v>60</v>
      </c>
      <c r="D201" s="13">
        <f>SUM(D202:D203)</f>
        <v>770.94</v>
      </c>
      <c r="E201" s="13">
        <f t="shared" ref="E201" si="167">SUM(E202:E203)</f>
        <v>745.92499999999995</v>
      </c>
      <c r="F201" s="18">
        <f t="shared" ref="F201" si="168">SUM(F202:F203)</f>
        <v>885.61400000000003</v>
      </c>
      <c r="G201" s="18">
        <f t="shared" ref="G201" si="169">SUM(G202:G203)</f>
        <v>0</v>
      </c>
      <c r="H201" s="18">
        <f t="shared" ref="H201" si="170">SUM(H202:H203)</f>
        <v>0</v>
      </c>
      <c r="I201" s="18">
        <f t="shared" ref="I201" si="171">SUM(I202:I203)</f>
        <v>0</v>
      </c>
      <c r="J201" s="13">
        <f t="shared" ref="J201:L201" si="172">SUM(J202:J203)</f>
        <v>0</v>
      </c>
      <c r="K201" s="13">
        <f t="shared" si="172"/>
        <v>0</v>
      </c>
      <c r="L201" s="13">
        <f t="shared" si="172"/>
        <v>0</v>
      </c>
    </row>
    <row r="202" spans="1:12" ht="30" customHeight="1" x14ac:dyDescent="0.25">
      <c r="A202" s="45"/>
      <c r="B202" s="53"/>
      <c r="C202" s="1" t="s">
        <v>61</v>
      </c>
      <c r="D202" s="13"/>
      <c r="E202" s="13"/>
      <c r="F202" s="18"/>
      <c r="G202" s="18"/>
      <c r="H202" s="18"/>
      <c r="I202" s="18"/>
      <c r="J202" s="13"/>
      <c r="K202" s="13"/>
      <c r="L202" s="13"/>
    </row>
    <row r="203" spans="1:12" ht="30" customHeight="1" x14ac:dyDescent="0.25">
      <c r="A203" s="46"/>
      <c r="B203" s="53"/>
      <c r="C203" s="1" t="s">
        <v>62</v>
      </c>
      <c r="D203" s="13">
        <v>770.94</v>
      </c>
      <c r="E203" s="13">
        <v>745.92499999999995</v>
      </c>
      <c r="F203" s="18">
        <v>885.61400000000003</v>
      </c>
      <c r="G203" s="18">
        <v>0</v>
      </c>
      <c r="H203" s="18">
        <v>0</v>
      </c>
      <c r="I203" s="18">
        <v>0</v>
      </c>
      <c r="J203" s="13">
        <v>0</v>
      </c>
      <c r="K203" s="13">
        <v>0</v>
      </c>
      <c r="L203" s="13">
        <v>0</v>
      </c>
    </row>
    <row r="204" spans="1:12" x14ac:dyDescent="0.25">
      <c r="A204" s="44" t="s">
        <v>95</v>
      </c>
      <c r="B204" s="53" t="s">
        <v>43</v>
      </c>
      <c r="C204" s="11" t="s">
        <v>60</v>
      </c>
      <c r="D204" s="14">
        <f>SUM(D205:D206)</f>
        <v>19814.099999999999</v>
      </c>
      <c r="E204" s="14">
        <f t="shared" ref="E204" si="173">SUM(E205:E206)</f>
        <v>19109.900000000001</v>
      </c>
      <c r="F204" s="18">
        <f t="shared" ref="F204" si="174">SUM(F205:F206)</f>
        <v>14598.934999999999</v>
      </c>
      <c r="G204" s="18">
        <f t="shared" ref="G204" si="175">SUM(G205:G206)</f>
        <v>15189.704</v>
      </c>
      <c r="H204" s="18">
        <f t="shared" ref="H204" si="176">SUM(H205:H206)</f>
        <v>18760.789000000001</v>
      </c>
      <c r="I204" s="18">
        <f t="shared" ref="I204" si="177">SUM(I205:I206)</f>
        <v>15438.954999999998</v>
      </c>
      <c r="J204" s="14">
        <f t="shared" ref="J204:L204" si="178">SUM(J205:J206)</f>
        <v>17250.620999999999</v>
      </c>
      <c r="K204" s="14">
        <f t="shared" si="178"/>
        <v>15790.276</v>
      </c>
      <c r="L204" s="14">
        <f t="shared" si="178"/>
        <v>10381.387000000001</v>
      </c>
    </row>
    <row r="205" spans="1:12" x14ac:dyDescent="0.25">
      <c r="A205" s="45"/>
      <c r="B205" s="53"/>
      <c r="C205" s="11" t="s">
        <v>61</v>
      </c>
      <c r="D205" s="14">
        <v>19814.099999999999</v>
      </c>
      <c r="E205" s="14">
        <v>19109.900000000001</v>
      </c>
      <c r="F205" s="18">
        <v>14598.934999999999</v>
      </c>
      <c r="G205" s="18">
        <v>15189.704</v>
      </c>
      <c r="H205" s="18">
        <v>18760.789000000001</v>
      </c>
      <c r="I205" s="18">
        <f>22213.534-23.668-1504.096-64.1-2506.464-1.251-2675</f>
        <v>15438.954999999998</v>
      </c>
      <c r="J205" s="14">
        <f>16109.569+1141.052</f>
        <v>17250.620999999999</v>
      </c>
      <c r="K205" s="14">
        <v>15790.276</v>
      </c>
      <c r="L205" s="14">
        <v>10381.387000000001</v>
      </c>
    </row>
    <row r="206" spans="1:12" ht="33.75" customHeight="1" x14ac:dyDescent="0.25">
      <c r="A206" s="45"/>
      <c r="B206" s="53"/>
      <c r="C206" s="11" t="s">
        <v>62</v>
      </c>
      <c r="D206" s="14"/>
      <c r="E206" s="14"/>
      <c r="F206" s="18"/>
      <c r="G206" s="18"/>
      <c r="H206" s="18"/>
      <c r="I206" s="18"/>
      <c r="J206" s="14"/>
      <c r="K206" s="14"/>
      <c r="L206" s="14"/>
    </row>
    <row r="207" spans="1:12" ht="19.649999999999999" customHeight="1" x14ac:dyDescent="0.25">
      <c r="A207" s="45"/>
      <c r="B207" s="47" t="s">
        <v>147</v>
      </c>
      <c r="C207" s="22" t="s">
        <v>60</v>
      </c>
      <c r="D207" s="18">
        <f>SUM(D208:D209)</f>
        <v>0</v>
      </c>
      <c r="E207" s="18">
        <f t="shared" ref="E207:J207" si="179">SUM(E208:E209)</f>
        <v>0</v>
      </c>
      <c r="F207" s="18">
        <f t="shared" si="179"/>
        <v>0</v>
      </c>
      <c r="G207" s="18">
        <f t="shared" si="179"/>
        <v>363.43</v>
      </c>
      <c r="H207" s="18">
        <f t="shared" si="179"/>
        <v>796.35000000000014</v>
      </c>
      <c r="I207" s="18">
        <f t="shared" si="179"/>
        <v>4074.6600000000003</v>
      </c>
      <c r="J207" s="18">
        <f t="shared" si="179"/>
        <v>4734.2429999999995</v>
      </c>
      <c r="K207" s="18">
        <f t="shared" ref="K207:L207" si="180">SUM(K208:K209)</f>
        <v>5053.5349999999999</v>
      </c>
      <c r="L207" s="18">
        <f t="shared" si="180"/>
        <v>5462.424</v>
      </c>
    </row>
    <row r="208" spans="1:12" ht="19.649999999999999" customHeight="1" x14ac:dyDescent="0.25">
      <c r="A208" s="45"/>
      <c r="B208" s="48"/>
      <c r="C208" s="22" t="s">
        <v>61</v>
      </c>
      <c r="D208" s="18">
        <v>0</v>
      </c>
      <c r="E208" s="18">
        <v>0</v>
      </c>
      <c r="F208" s="18">
        <v>0</v>
      </c>
      <c r="G208" s="18">
        <v>3.63</v>
      </c>
      <c r="H208" s="18">
        <f>10.815+0.755</f>
        <v>11.57</v>
      </c>
      <c r="I208" s="18">
        <f>15.041+0.641+25.064</f>
        <v>40.746000000000002</v>
      </c>
      <c r="J208" s="18">
        <v>47.343000000000004</v>
      </c>
      <c r="K208" s="18">
        <v>50.534999999999997</v>
      </c>
      <c r="L208" s="18">
        <v>54.624000000000002</v>
      </c>
    </row>
    <row r="209" spans="1:12" ht="25.5" customHeight="1" x14ac:dyDescent="0.25">
      <c r="A209" s="45"/>
      <c r="B209" s="49"/>
      <c r="C209" s="22" t="s">
        <v>62</v>
      </c>
      <c r="D209" s="18">
        <v>0</v>
      </c>
      <c r="E209" s="18">
        <v>0</v>
      </c>
      <c r="F209" s="18">
        <v>0</v>
      </c>
      <c r="G209" s="18">
        <v>359.8</v>
      </c>
      <c r="H209" s="18">
        <f>710.248+74.532</f>
        <v>784.78000000000009</v>
      </c>
      <c r="I209" s="18">
        <f>1489.055+63.459+2481.4</f>
        <v>4033.9140000000002</v>
      </c>
      <c r="J209" s="18">
        <v>4686.8999999999996</v>
      </c>
      <c r="K209" s="18">
        <v>5003</v>
      </c>
      <c r="L209" s="18">
        <v>5407.8</v>
      </c>
    </row>
    <row r="210" spans="1:12" ht="25.5" customHeight="1" x14ac:dyDescent="0.25">
      <c r="A210" s="45"/>
      <c r="B210" s="44" t="s">
        <v>131</v>
      </c>
      <c r="C210" s="11" t="s">
        <v>60</v>
      </c>
      <c r="D210" s="14">
        <f>SUM(D211:D212)</f>
        <v>0</v>
      </c>
      <c r="E210" s="14">
        <f t="shared" ref="E210:J210" si="181">SUM(E211:E212)</f>
        <v>0</v>
      </c>
      <c r="F210" s="18">
        <f t="shared" si="181"/>
        <v>0</v>
      </c>
      <c r="G210" s="18">
        <f t="shared" si="181"/>
        <v>0</v>
      </c>
      <c r="H210" s="18">
        <f t="shared" si="181"/>
        <v>0</v>
      </c>
      <c r="I210" s="18">
        <f t="shared" si="181"/>
        <v>8.5500000000000007</v>
      </c>
      <c r="J210" s="14">
        <f t="shared" si="181"/>
        <v>0</v>
      </c>
      <c r="K210" s="14">
        <f t="shared" ref="K210:L210" si="182">SUM(K211:K212)</f>
        <v>0</v>
      </c>
      <c r="L210" s="14">
        <f t="shared" si="182"/>
        <v>0</v>
      </c>
    </row>
    <row r="211" spans="1:12" ht="17.399999999999999" customHeight="1" x14ac:dyDescent="0.25">
      <c r="A211" s="45"/>
      <c r="B211" s="45"/>
      <c r="C211" s="11" t="s">
        <v>61</v>
      </c>
      <c r="D211" s="14"/>
      <c r="E211" s="14"/>
      <c r="F211" s="18"/>
      <c r="G211" s="18"/>
      <c r="H211" s="18"/>
      <c r="I211" s="18">
        <v>4.2750000000000004</v>
      </c>
      <c r="J211" s="14"/>
      <c r="K211" s="14"/>
      <c r="L211" s="14"/>
    </row>
    <row r="212" spans="1:12" ht="18" customHeight="1" x14ac:dyDescent="0.25">
      <c r="A212" s="46"/>
      <c r="B212" s="46"/>
      <c r="C212" s="11" t="s">
        <v>62</v>
      </c>
      <c r="D212" s="14"/>
      <c r="E212" s="14"/>
      <c r="F212" s="18"/>
      <c r="G212" s="18"/>
      <c r="H212" s="18"/>
      <c r="I212" s="18">
        <v>4.2750000000000004</v>
      </c>
      <c r="J212" s="14"/>
      <c r="K212" s="14"/>
      <c r="L212" s="14"/>
    </row>
    <row r="213" spans="1:12" x14ac:dyDescent="0.25">
      <c r="A213" s="33" t="s">
        <v>96</v>
      </c>
      <c r="B213" s="33" t="s">
        <v>44</v>
      </c>
      <c r="C213" s="1" t="s">
        <v>60</v>
      </c>
      <c r="D213" s="13">
        <f>SUM(D214:D215)</f>
        <v>0</v>
      </c>
      <c r="E213" s="13">
        <f t="shared" ref="E213" si="183">SUM(E214:E215)</f>
        <v>1045.961</v>
      </c>
      <c r="F213" s="18">
        <f t="shared" ref="F213" si="184">SUM(F214:F215)</f>
        <v>0</v>
      </c>
      <c r="G213" s="18">
        <f t="shared" ref="G213" si="185">SUM(G214:G215)</f>
        <v>0</v>
      </c>
      <c r="H213" s="18">
        <f t="shared" ref="H213" si="186">SUM(H214:H215)</f>
        <v>0</v>
      </c>
      <c r="I213" s="18">
        <f t="shared" ref="I213" si="187">SUM(I214:I215)</f>
        <v>0</v>
      </c>
      <c r="J213" s="13">
        <f t="shared" ref="J213:L213" si="188">SUM(J214:J215)</f>
        <v>0</v>
      </c>
      <c r="K213" s="13">
        <f t="shared" si="188"/>
        <v>0</v>
      </c>
      <c r="L213" s="13">
        <f t="shared" si="188"/>
        <v>0</v>
      </c>
    </row>
    <row r="214" spans="1:12" x14ac:dyDescent="0.25">
      <c r="A214" s="34"/>
      <c r="B214" s="34"/>
      <c r="C214" s="1" t="s">
        <v>61</v>
      </c>
      <c r="D214" s="13">
        <v>0</v>
      </c>
      <c r="E214" s="13">
        <v>1045.961</v>
      </c>
      <c r="F214" s="18">
        <v>0</v>
      </c>
      <c r="G214" s="18">
        <v>0</v>
      </c>
      <c r="H214" s="18">
        <v>0</v>
      </c>
      <c r="I214" s="18">
        <v>0</v>
      </c>
      <c r="J214" s="13">
        <v>0</v>
      </c>
      <c r="K214" s="13">
        <v>0</v>
      </c>
      <c r="L214" s="13">
        <v>0</v>
      </c>
    </row>
    <row r="215" spans="1:12" ht="18" customHeight="1" x14ac:dyDescent="0.25">
      <c r="A215" s="35"/>
      <c r="B215" s="35"/>
      <c r="C215" s="1" t="s">
        <v>62</v>
      </c>
      <c r="D215" s="13"/>
      <c r="E215" s="13"/>
      <c r="F215" s="18"/>
      <c r="G215" s="18"/>
      <c r="H215" s="18"/>
      <c r="I215" s="18"/>
      <c r="J215" s="13"/>
      <c r="K215" s="13"/>
      <c r="L215" s="13"/>
    </row>
    <row r="216" spans="1:12" x14ac:dyDescent="0.25">
      <c r="A216" s="33" t="s">
        <v>97</v>
      </c>
      <c r="B216" s="33" t="s">
        <v>45</v>
      </c>
      <c r="C216" s="1" t="s">
        <v>60</v>
      </c>
      <c r="D216" s="13">
        <f>SUM(D217:D218)</f>
        <v>115</v>
      </c>
      <c r="E216" s="13">
        <f t="shared" ref="E216" si="189">SUM(E217:E218)</f>
        <v>75</v>
      </c>
      <c r="F216" s="18">
        <f t="shared" ref="F216" si="190">SUM(F217:F218)</f>
        <v>125</v>
      </c>
      <c r="G216" s="18">
        <f t="shared" ref="G216" si="191">SUM(G217:G218)</f>
        <v>300</v>
      </c>
      <c r="H216" s="18">
        <f t="shared" ref="H216" si="192">SUM(H217:H218)</f>
        <v>120</v>
      </c>
      <c r="I216" s="18">
        <f t="shared" ref="I216" si="193">SUM(I217:I218)</f>
        <v>0</v>
      </c>
      <c r="J216" s="13">
        <f t="shared" ref="J216:L216" si="194">SUM(J217:J218)</f>
        <v>0</v>
      </c>
      <c r="K216" s="13">
        <f t="shared" si="194"/>
        <v>0</v>
      </c>
      <c r="L216" s="13">
        <f t="shared" si="194"/>
        <v>0</v>
      </c>
    </row>
    <row r="217" spans="1:12" x14ac:dyDescent="0.25">
      <c r="A217" s="34"/>
      <c r="B217" s="34"/>
      <c r="C217" s="1" t="s">
        <v>61</v>
      </c>
      <c r="D217" s="13">
        <v>115</v>
      </c>
      <c r="E217" s="13">
        <v>75</v>
      </c>
      <c r="F217" s="18">
        <f>140-15</f>
        <v>125</v>
      </c>
      <c r="G217" s="18">
        <v>300</v>
      </c>
      <c r="H217" s="18">
        <v>120</v>
      </c>
      <c r="I217" s="18">
        <v>0</v>
      </c>
      <c r="J217" s="13">
        <v>0</v>
      </c>
      <c r="K217" s="13">
        <v>0</v>
      </c>
      <c r="L217" s="13">
        <v>0</v>
      </c>
    </row>
    <row r="218" spans="1:12" ht="17.25" customHeight="1" x14ac:dyDescent="0.25">
      <c r="A218" s="35"/>
      <c r="B218" s="35"/>
      <c r="C218" s="1" t="s">
        <v>62</v>
      </c>
      <c r="D218" s="13"/>
      <c r="E218" s="13"/>
      <c r="F218" s="18"/>
      <c r="G218" s="18"/>
      <c r="H218" s="18"/>
      <c r="I218" s="18"/>
      <c r="J218" s="13"/>
      <c r="K218" s="13"/>
      <c r="L218" s="13"/>
    </row>
    <row r="219" spans="1:12" x14ac:dyDescent="0.25">
      <c r="A219" s="33" t="s">
        <v>98</v>
      </c>
      <c r="B219" s="36" t="s">
        <v>144</v>
      </c>
      <c r="C219" s="1" t="s">
        <v>60</v>
      </c>
      <c r="D219" s="13">
        <f>SUM(D220:D221)</f>
        <v>179.16</v>
      </c>
      <c r="E219" s="13">
        <f t="shared" ref="E219" si="195">SUM(E220:E221)</f>
        <v>0</v>
      </c>
      <c r="F219" s="18">
        <f t="shared" ref="F219" si="196">SUM(F220:F221)</f>
        <v>111.669</v>
      </c>
      <c r="G219" s="18">
        <f t="shared" ref="G219" si="197">SUM(G220:G221)</f>
        <v>147.81399999999999</v>
      </c>
      <c r="H219" s="18">
        <f t="shared" ref="H219" si="198">SUM(H220:H221)</f>
        <v>0</v>
      </c>
      <c r="I219" s="18">
        <f t="shared" ref="I219" si="199">SUM(I220:I221)</f>
        <v>0</v>
      </c>
      <c r="J219" s="13">
        <f t="shared" ref="J219:L219" si="200">SUM(J220:J221)</f>
        <v>0</v>
      </c>
      <c r="K219" s="13">
        <f t="shared" si="200"/>
        <v>0</v>
      </c>
      <c r="L219" s="13">
        <f t="shared" si="200"/>
        <v>0</v>
      </c>
    </row>
    <row r="220" spans="1:12" x14ac:dyDescent="0.25">
      <c r="A220" s="34"/>
      <c r="B220" s="36"/>
      <c r="C220" s="1" t="s">
        <v>61</v>
      </c>
      <c r="D220" s="13">
        <v>179.16</v>
      </c>
      <c r="E220" s="13">
        <v>0</v>
      </c>
      <c r="F220" s="18">
        <v>111.669</v>
      </c>
      <c r="G220" s="18">
        <f>100+60-12.19+0.004</f>
        <v>147.81399999999999</v>
      </c>
      <c r="H220" s="18">
        <v>0</v>
      </c>
      <c r="I220" s="18">
        <v>0</v>
      </c>
      <c r="J220" s="13">
        <v>0</v>
      </c>
      <c r="K220" s="13">
        <v>0</v>
      </c>
      <c r="L220" s="13">
        <v>0</v>
      </c>
    </row>
    <row r="221" spans="1:12" ht="17.25" customHeight="1" x14ac:dyDescent="0.25">
      <c r="A221" s="35"/>
      <c r="B221" s="36"/>
      <c r="C221" s="1" t="s">
        <v>62</v>
      </c>
      <c r="D221" s="13"/>
      <c r="E221" s="13"/>
      <c r="F221" s="18"/>
      <c r="G221" s="18"/>
      <c r="H221" s="18"/>
      <c r="I221" s="18"/>
      <c r="J221" s="13"/>
      <c r="K221" s="13"/>
      <c r="L221" s="13"/>
    </row>
    <row r="222" spans="1:12" ht="29.4" customHeight="1" x14ac:dyDescent="0.25">
      <c r="A222" s="54" t="s">
        <v>99</v>
      </c>
      <c r="B222" s="33" t="s">
        <v>46</v>
      </c>
      <c r="C222" s="1" t="s">
        <v>60</v>
      </c>
      <c r="D222" s="13">
        <f>SUM(D223:D224)</f>
        <v>290.54000000000002</v>
      </c>
      <c r="E222" s="13">
        <f t="shared" ref="E222" si="201">SUM(E223:E224)</f>
        <v>0</v>
      </c>
      <c r="F222" s="18">
        <f t="shared" ref="F222" si="202">SUM(F223:F224)</f>
        <v>0</v>
      </c>
      <c r="G222" s="18">
        <f t="shared" ref="G222" si="203">SUM(G223:G224)</f>
        <v>0</v>
      </c>
      <c r="H222" s="18">
        <f t="shared" ref="H222" si="204">SUM(H223:H224)</f>
        <v>0</v>
      </c>
      <c r="I222" s="18">
        <f t="shared" ref="I222" si="205">SUM(I223:I224)</f>
        <v>0</v>
      </c>
      <c r="J222" s="13">
        <f t="shared" ref="J222:L222" si="206">SUM(J223:J224)</f>
        <v>0</v>
      </c>
      <c r="K222" s="13">
        <f t="shared" si="206"/>
        <v>0</v>
      </c>
      <c r="L222" s="13">
        <f t="shared" si="206"/>
        <v>0</v>
      </c>
    </row>
    <row r="223" spans="1:12" ht="29.4" customHeight="1" x14ac:dyDescent="0.25">
      <c r="A223" s="55"/>
      <c r="B223" s="34"/>
      <c r="C223" s="1" t="s">
        <v>61</v>
      </c>
      <c r="D223" s="13">
        <v>290.54000000000002</v>
      </c>
      <c r="E223" s="13">
        <v>0</v>
      </c>
      <c r="F223" s="18">
        <v>0</v>
      </c>
      <c r="G223" s="18">
        <v>0</v>
      </c>
      <c r="H223" s="18">
        <v>0</v>
      </c>
      <c r="I223" s="18">
        <v>0</v>
      </c>
      <c r="J223" s="13">
        <v>0</v>
      </c>
      <c r="K223" s="13">
        <v>0</v>
      </c>
      <c r="L223" s="13">
        <v>0</v>
      </c>
    </row>
    <row r="224" spans="1:12" ht="29.4" customHeight="1" x14ac:dyDescent="0.25">
      <c r="A224" s="55"/>
      <c r="B224" s="35"/>
      <c r="C224" s="1" t="s">
        <v>62</v>
      </c>
      <c r="D224" s="13"/>
      <c r="E224" s="13"/>
      <c r="F224" s="18"/>
      <c r="G224" s="18"/>
      <c r="H224" s="18"/>
      <c r="I224" s="18"/>
      <c r="J224" s="13"/>
      <c r="K224" s="13"/>
      <c r="L224" s="13"/>
    </row>
    <row r="225" spans="1:12" ht="30" customHeight="1" x14ac:dyDescent="0.25">
      <c r="A225" s="55"/>
      <c r="B225" s="33" t="s">
        <v>47</v>
      </c>
      <c r="C225" s="1" t="s">
        <v>60</v>
      </c>
      <c r="D225" s="13">
        <f>SUM(D226:D227)</f>
        <v>1335.5</v>
      </c>
      <c r="E225" s="13">
        <f t="shared" ref="E225" si="207">SUM(E226:E227)</f>
        <v>0</v>
      </c>
      <c r="F225" s="18">
        <f t="shared" ref="F225" si="208">SUM(F226:F227)</f>
        <v>0</v>
      </c>
      <c r="G225" s="18">
        <f t="shared" ref="G225" si="209">SUM(G226:G227)</f>
        <v>0</v>
      </c>
      <c r="H225" s="18">
        <f t="shared" ref="H225" si="210">SUM(H226:H227)</f>
        <v>0</v>
      </c>
      <c r="I225" s="18">
        <f t="shared" ref="I225" si="211">SUM(I226:I227)</f>
        <v>0</v>
      </c>
      <c r="J225" s="13">
        <f t="shared" ref="J225:L225" si="212">SUM(J226:J227)</f>
        <v>0</v>
      </c>
      <c r="K225" s="13">
        <f t="shared" si="212"/>
        <v>0</v>
      </c>
      <c r="L225" s="13">
        <f t="shared" si="212"/>
        <v>0</v>
      </c>
    </row>
    <row r="226" spans="1:12" ht="25.2" customHeight="1" x14ac:dyDescent="0.25">
      <c r="A226" s="55"/>
      <c r="B226" s="34"/>
      <c r="C226" s="1" t="s">
        <v>61</v>
      </c>
      <c r="D226" s="13"/>
      <c r="E226" s="13"/>
      <c r="F226" s="18"/>
      <c r="G226" s="18"/>
      <c r="H226" s="18"/>
      <c r="I226" s="18"/>
      <c r="J226" s="13"/>
      <c r="K226" s="13"/>
      <c r="L226" s="13"/>
    </row>
    <row r="227" spans="1:12" ht="25.2" customHeight="1" x14ac:dyDescent="0.25">
      <c r="A227" s="56"/>
      <c r="B227" s="35"/>
      <c r="C227" s="1" t="s">
        <v>62</v>
      </c>
      <c r="D227" s="13">
        <v>1335.5</v>
      </c>
      <c r="E227" s="13">
        <v>0</v>
      </c>
      <c r="F227" s="18">
        <v>0</v>
      </c>
      <c r="G227" s="18">
        <v>0</v>
      </c>
      <c r="H227" s="18">
        <v>0</v>
      </c>
      <c r="I227" s="18">
        <v>0</v>
      </c>
      <c r="J227" s="13">
        <v>0</v>
      </c>
      <c r="K227" s="13">
        <v>0</v>
      </c>
      <c r="L227" s="13">
        <v>0</v>
      </c>
    </row>
    <row r="228" spans="1:12" x14ac:dyDescent="0.25">
      <c r="A228" s="61" t="s">
        <v>115</v>
      </c>
      <c r="B228" s="33" t="s">
        <v>112</v>
      </c>
      <c r="C228" s="1" t="s">
        <v>60</v>
      </c>
      <c r="D228" s="13">
        <f>SUM(D229:D230)</f>
        <v>0</v>
      </c>
      <c r="E228" s="13">
        <f t="shared" ref="E228:J228" si="213">SUM(E229:E230)</f>
        <v>0</v>
      </c>
      <c r="F228" s="18">
        <f t="shared" si="213"/>
        <v>66.085000000000008</v>
      </c>
      <c r="G228" s="18">
        <f t="shared" si="213"/>
        <v>10</v>
      </c>
      <c r="H228" s="18">
        <f t="shared" si="213"/>
        <v>0</v>
      </c>
      <c r="I228" s="18">
        <f t="shared" si="213"/>
        <v>0</v>
      </c>
      <c r="J228" s="13">
        <f t="shared" si="213"/>
        <v>0</v>
      </c>
      <c r="K228" s="13">
        <f t="shared" ref="K228:L228" si="214">SUM(K229:K230)</f>
        <v>0</v>
      </c>
      <c r="L228" s="13">
        <f t="shared" si="214"/>
        <v>0</v>
      </c>
    </row>
    <row r="229" spans="1:12" x14ac:dyDescent="0.25">
      <c r="A229" s="62"/>
      <c r="B229" s="34"/>
      <c r="C229" s="1" t="s">
        <v>61</v>
      </c>
      <c r="D229" s="13">
        <v>0</v>
      </c>
      <c r="E229" s="13">
        <v>0</v>
      </c>
      <c r="F229" s="18">
        <f>11+55.085</f>
        <v>66.085000000000008</v>
      </c>
      <c r="G229" s="18">
        <v>10</v>
      </c>
      <c r="H229" s="18">
        <v>0</v>
      </c>
      <c r="I229" s="18">
        <v>0</v>
      </c>
      <c r="J229" s="13">
        <v>0</v>
      </c>
      <c r="K229" s="13">
        <v>0</v>
      </c>
      <c r="L229" s="13">
        <v>0</v>
      </c>
    </row>
    <row r="230" spans="1:12" x14ac:dyDescent="0.25">
      <c r="A230" s="63"/>
      <c r="B230" s="35"/>
      <c r="C230" s="1" t="s">
        <v>62</v>
      </c>
      <c r="D230" s="13"/>
      <c r="E230" s="13"/>
      <c r="F230" s="18"/>
      <c r="G230" s="18"/>
      <c r="H230" s="18"/>
      <c r="I230" s="18"/>
      <c r="J230" s="13"/>
      <c r="K230" s="13"/>
      <c r="L230" s="13"/>
    </row>
    <row r="231" spans="1:12" x14ac:dyDescent="0.25">
      <c r="A231" s="61" t="s">
        <v>116</v>
      </c>
      <c r="B231" s="33" t="s">
        <v>138</v>
      </c>
      <c r="C231" s="1" t="s">
        <v>60</v>
      </c>
      <c r="D231" s="13">
        <f>SUM(D232:D233)</f>
        <v>0</v>
      </c>
      <c r="E231" s="13">
        <f t="shared" ref="E231:J231" si="215">SUM(E232:E233)</f>
        <v>0</v>
      </c>
      <c r="F231" s="18">
        <f t="shared" si="215"/>
        <v>0</v>
      </c>
      <c r="G231" s="18">
        <f t="shared" si="215"/>
        <v>333.334</v>
      </c>
      <c r="H231" s="18">
        <f t="shared" si="215"/>
        <v>0</v>
      </c>
      <c r="I231" s="18">
        <f t="shared" si="215"/>
        <v>666.66700000000003</v>
      </c>
      <c r="J231" s="13">
        <f t="shared" si="215"/>
        <v>0</v>
      </c>
      <c r="K231" s="13">
        <f t="shared" ref="K231:L231" si="216">SUM(K232:K233)</f>
        <v>0</v>
      </c>
      <c r="L231" s="13">
        <f t="shared" si="216"/>
        <v>0</v>
      </c>
    </row>
    <row r="232" spans="1:12" x14ac:dyDescent="0.25">
      <c r="A232" s="62"/>
      <c r="B232" s="34"/>
      <c r="C232" s="1" t="s">
        <v>61</v>
      </c>
      <c r="D232" s="13">
        <v>0</v>
      </c>
      <c r="E232" s="13">
        <v>0</v>
      </c>
      <c r="F232" s="18">
        <v>0</v>
      </c>
      <c r="G232" s="18">
        <f>33.3+0.034</f>
        <v>33.333999999999996</v>
      </c>
      <c r="H232" s="18">
        <v>0</v>
      </c>
      <c r="I232" s="18">
        <v>66.667000000000002</v>
      </c>
      <c r="J232" s="13">
        <v>0</v>
      </c>
      <c r="K232" s="13">
        <v>0</v>
      </c>
      <c r="L232" s="13">
        <v>0</v>
      </c>
    </row>
    <row r="233" spans="1:12" ht="45" customHeight="1" x14ac:dyDescent="0.25">
      <c r="A233" s="63"/>
      <c r="B233" s="35"/>
      <c r="C233" s="1" t="s">
        <v>62</v>
      </c>
      <c r="D233" s="13">
        <v>0</v>
      </c>
      <c r="E233" s="13">
        <v>0</v>
      </c>
      <c r="F233" s="18">
        <v>0</v>
      </c>
      <c r="G233" s="18">
        <v>300</v>
      </c>
      <c r="H233" s="18">
        <v>0</v>
      </c>
      <c r="I233" s="18">
        <v>600</v>
      </c>
      <c r="J233" s="13">
        <v>0</v>
      </c>
      <c r="K233" s="13">
        <v>0</v>
      </c>
      <c r="L233" s="13">
        <v>0</v>
      </c>
    </row>
    <row r="234" spans="1:12" ht="19.95" customHeight="1" x14ac:dyDescent="0.25">
      <c r="A234" s="61" t="s">
        <v>119</v>
      </c>
      <c r="B234" s="33" t="s">
        <v>120</v>
      </c>
      <c r="C234" s="1" t="s">
        <v>60</v>
      </c>
      <c r="D234" s="13">
        <f>SUM(D235:D236)</f>
        <v>0</v>
      </c>
      <c r="E234" s="13">
        <f t="shared" ref="E234:J234" si="217">SUM(E235:E236)</f>
        <v>0</v>
      </c>
      <c r="F234" s="18">
        <f t="shared" si="217"/>
        <v>0</v>
      </c>
      <c r="G234" s="18">
        <f t="shared" si="217"/>
        <v>0</v>
      </c>
      <c r="H234" s="18">
        <f t="shared" si="217"/>
        <v>0</v>
      </c>
      <c r="I234" s="18">
        <f t="shared" si="217"/>
        <v>0</v>
      </c>
      <c r="J234" s="13">
        <f t="shared" si="217"/>
        <v>0</v>
      </c>
      <c r="K234" s="13">
        <f t="shared" ref="K234:L234" si="218">SUM(K235:K236)</f>
        <v>0</v>
      </c>
      <c r="L234" s="13">
        <f t="shared" si="218"/>
        <v>0</v>
      </c>
    </row>
    <row r="235" spans="1:12" ht="19.95" customHeight="1" x14ac:dyDescent="0.25">
      <c r="A235" s="62"/>
      <c r="B235" s="34"/>
      <c r="C235" s="1" t="s">
        <v>61</v>
      </c>
      <c r="D235" s="13">
        <v>0</v>
      </c>
      <c r="E235" s="13">
        <v>0</v>
      </c>
      <c r="F235" s="18">
        <v>0</v>
      </c>
      <c r="G235" s="18">
        <v>0</v>
      </c>
      <c r="H235" s="18">
        <v>0</v>
      </c>
      <c r="I235" s="18">
        <v>0</v>
      </c>
      <c r="J235" s="13">
        <v>0</v>
      </c>
      <c r="K235" s="13">
        <v>0</v>
      </c>
      <c r="L235" s="13">
        <v>0</v>
      </c>
    </row>
    <row r="236" spans="1:12" ht="25.5" customHeight="1" x14ac:dyDescent="0.25">
      <c r="A236" s="63"/>
      <c r="B236" s="35"/>
      <c r="C236" s="1" t="s">
        <v>62</v>
      </c>
      <c r="D236" s="13">
        <v>0</v>
      </c>
      <c r="E236" s="13">
        <v>0</v>
      </c>
      <c r="F236" s="18">
        <v>0</v>
      </c>
      <c r="G236" s="18">
        <v>0</v>
      </c>
      <c r="H236" s="18">
        <v>0</v>
      </c>
      <c r="I236" s="18">
        <v>0</v>
      </c>
      <c r="J236" s="13">
        <v>0</v>
      </c>
      <c r="K236" s="13">
        <v>0</v>
      </c>
      <c r="L236" s="13">
        <v>0</v>
      </c>
    </row>
    <row r="237" spans="1:12" s="21" customFormat="1" x14ac:dyDescent="0.25">
      <c r="A237" s="64" t="s">
        <v>48</v>
      </c>
      <c r="B237" s="67" t="s">
        <v>49</v>
      </c>
      <c r="C237" s="27" t="s">
        <v>60</v>
      </c>
      <c r="D237" s="19">
        <f>SUM(D238:D239)</f>
        <v>1415.6</v>
      </c>
      <c r="E237" s="19">
        <f t="shared" ref="E237" si="219">SUM(E238:E239)</f>
        <v>2186.5190000000002</v>
      </c>
      <c r="F237" s="19">
        <f t="shared" ref="F237" si="220">SUM(F238:F239)</f>
        <v>1687.818</v>
      </c>
      <c r="G237" s="19">
        <f>SUM(G238:G239)</f>
        <v>1917.6179999999999</v>
      </c>
      <c r="H237" s="19">
        <f>SUM(H238:H239)</f>
        <v>1798.085</v>
      </c>
      <c r="I237" s="19">
        <f>SUM(I238:I239)</f>
        <v>1304.1659999999999</v>
      </c>
      <c r="J237" s="19">
        <f>SUM(J238:J239)</f>
        <v>1625.817</v>
      </c>
      <c r="K237" s="19">
        <f t="shared" ref="K237:L237" si="221">SUM(K238:K239)</f>
        <v>1625.817</v>
      </c>
      <c r="L237" s="19">
        <f t="shared" si="221"/>
        <v>1625.817</v>
      </c>
    </row>
    <row r="238" spans="1:12" s="21" customFormat="1" x14ac:dyDescent="0.25">
      <c r="A238" s="65"/>
      <c r="B238" s="67"/>
      <c r="C238" s="27" t="s">
        <v>61</v>
      </c>
      <c r="D238" s="19">
        <f>D241+D244+D250</f>
        <v>707.8</v>
      </c>
      <c r="E238" s="19">
        <f t="shared" ref="E238:F238" si="222">E241+E244+E250</f>
        <v>1334.7190000000001</v>
      </c>
      <c r="F238" s="19">
        <f t="shared" si="222"/>
        <v>958.81799999999998</v>
      </c>
      <c r="G238" s="19">
        <f>G241+G244+G250</f>
        <v>1199.4179999999999</v>
      </c>
      <c r="H238" s="19">
        <f>H241+H244+H250</f>
        <v>1134.9849999999999</v>
      </c>
      <c r="I238" s="19">
        <f>I241+I244+I250+I247</f>
        <v>618.06600000000003</v>
      </c>
      <c r="J238" s="19">
        <f>J241+J244+J250+J247</f>
        <v>756.31700000000001</v>
      </c>
      <c r="K238" s="19">
        <f t="shared" ref="K238:L238" si="223">K241+K244+K250+K247</f>
        <v>756.31700000000001</v>
      </c>
      <c r="L238" s="19">
        <f t="shared" si="223"/>
        <v>756.31700000000001</v>
      </c>
    </row>
    <row r="239" spans="1:12" s="21" customFormat="1" x14ac:dyDescent="0.25">
      <c r="A239" s="66"/>
      <c r="B239" s="67"/>
      <c r="C239" s="27" t="s">
        <v>62</v>
      </c>
      <c r="D239" s="19">
        <f>D242+D245+D251</f>
        <v>707.8</v>
      </c>
      <c r="E239" s="19">
        <f t="shared" ref="E239:I239" si="224">E242+E245+E251</f>
        <v>851.8</v>
      </c>
      <c r="F239" s="19">
        <f t="shared" si="224"/>
        <v>729</v>
      </c>
      <c r="G239" s="19">
        <f>G242+G245+G251</f>
        <v>718.2</v>
      </c>
      <c r="H239" s="19">
        <f t="shared" si="224"/>
        <v>663.1</v>
      </c>
      <c r="I239" s="19">
        <f t="shared" si="224"/>
        <v>686.09999999999991</v>
      </c>
      <c r="J239" s="19">
        <f>J242+J245+J251+J248</f>
        <v>869.5</v>
      </c>
      <c r="K239" s="19">
        <f t="shared" ref="K239:L239" si="225">K242+K245+K251+K248</f>
        <v>869.5</v>
      </c>
      <c r="L239" s="19">
        <f t="shared" si="225"/>
        <v>869.5</v>
      </c>
    </row>
    <row r="240" spans="1:12" ht="13.95" customHeight="1" x14ac:dyDescent="0.25">
      <c r="A240" s="33" t="s">
        <v>100</v>
      </c>
      <c r="B240" s="33" t="s">
        <v>139</v>
      </c>
      <c r="C240" s="1" t="s">
        <v>60</v>
      </c>
      <c r="D240" s="13">
        <f>SUM(D241:D242)</f>
        <v>350.02600000000001</v>
      </c>
      <c r="E240" s="13">
        <f t="shared" ref="E240" si="226">SUM(E241:E242)</f>
        <v>660.71799999999996</v>
      </c>
      <c r="F240" s="18">
        <f t="shared" ref="F240" si="227">SUM(F241:F242)</f>
        <v>862.13499999999999</v>
      </c>
      <c r="G240" s="18">
        <f t="shared" ref="G240" si="228">SUM(G241:G242)</f>
        <v>986.77599999999995</v>
      </c>
      <c r="H240" s="18">
        <f>SUM(H241:H242)</f>
        <v>994.65</v>
      </c>
      <c r="I240" s="18">
        <f t="shared" ref="I240" si="229">SUM(I241:I242)</f>
        <v>457.4</v>
      </c>
      <c r="J240" s="13">
        <f t="shared" ref="J240:L240" si="230">SUM(J241:J242)</f>
        <v>579.66700000000003</v>
      </c>
      <c r="K240" s="13">
        <f t="shared" si="230"/>
        <v>579.66700000000003</v>
      </c>
      <c r="L240" s="13">
        <f t="shared" si="230"/>
        <v>579.66700000000003</v>
      </c>
    </row>
    <row r="241" spans="1:12" x14ac:dyDescent="0.25">
      <c r="A241" s="34"/>
      <c r="B241" s="34"/>
      <c r="C241" s="1" t="s">
        <v>61</v>
      </c>
      <c r="D241" s="13">
        <v>350.02600000000001</v>
      </c>
      <c r="E241" s="13">
        <v>660.71799999999996</v>
      </c>
      <c r="F241" s="18">
        <v>862.13499999999999</v>
      </c>
      <c r="G241" s="18">
        <v>986.77599999999995</v>
      </c>
      <c r="H241" s="18">
        <f>994.65</f>
        <v>994.65</v>
      </c>
      <c r="I241" s="18">
        <f>468.2-10.8</f>
        <v>457.4</v>
      </c>
      <c r="J241" s="13">
        <v>579.66700000000003</v>
      </c>
      <c r="K241" s="13">
        <v>579.66700000000003</v>
      </c>
      <c r="L241" s="13">
        <v>579.66700000000003</v>
      </c>
    </row>
    <row r="242" spans="1:12" ht="18.75" customHeight="1" x14ac:dyDescent="0.25">
      <c r="A242" s="34"/>
      <c r="B242" s="35"/>
      <c r="C242" s="1" t="s">
        <v>62</v>
      </c>
      <c r="D242" s="13"/>
      <c r="E242" s="13"/>
      <c r="F242" s="18"/>
      <c r="G242" s="18"/>
      <c r="H242" s="18"/>
      <c r="I242" s="18"/>
      <c r="J242" s="13"/>
      <c r="K242" s="13"/>
      <c r="L242" s="13"/>
    </row>
    <row r="243" spans="1:12" x14ac:dyDescent="0.25">
      <c r="A243" s="34"/>
      <c r="B243" s="33" t="s">
        <v>140</v>
      </c>
      <c r="C243" s="1" t="s">
        <v>60</v>
      </c>
      <c r="D243" s="13">
        <f>SUM(D244:D245)</f>
        <v>707.8</v>
      </c>
      <c r="E243" s="13">
        <f t="shared" ref="E243" si="231">SUM(E244:E245)</f>
        <v>851.8</v>
      </c>
      <c r="F243" s="18">
        <f t="shared" ref="F243" si="232">SUM(F244:F245)</f>
        <v>729</v>
      </c>
      <c r="G243" s="18">
        <f t="shared" ref="G243" si="233">SUM(G244:G245)</f>
        <v>718.2</v>
      </c>
      <c r="H243" s="18">
        <f t="shared" ref="H243" si="234">SUM(H244:H245)</f>
        <v>663.1</v>
      </c>
      <c r="I243" s="18">
        <f t="shared" ref="I243" si="235">SUM(I244:I245)</f>
        <v>686.09999999999991</v>
      </c>
      <c r="J243" s="13">
        <f t="shared" ref="J243:L243" si="236">SUM(J244:J245)</f>
        <v>869.5</v>
      </c>
      <c r="K243" s="13">
        <f t="shared" si="236"/>
        <v>869.5</v>
      </c>
      <c r="L243" s="13">
        <f t="shared" si="236"/>
        <v>869.5</v>
      </c>
    </row>
    <row r="244" spans="1:12" x14ac:dyDescent="0.25">
      <c r="A244" s="34"/>
      <c r="B244" s="34"/>
      <c r="C244" s="1" t="s">
        <v>61</v>
      </c>
      <c r="D244" s="13"/>
      <c r="E244" s="13"/>
      <c r="F244" s="18"/>
      <c r="G244" s="18"/>
      <c r="H244" s="18"/>
      <c r="I244" s="18"/>
      <c r="J244" s="13"/>
      <c r="K244" s="13"/>
      <c r="L244" s="13"/>
    </row>
    <row r="245" spans="1:12" ht="16.5" customHeight="1" x14ac:dyDescent="0.25">
      <c r="A245" s="34"/>
      <c r="B245" s="35"/>
      <c r="C245" s="1" t="s">
        <v>62</v>
      </c>
      <c r="D245" s="13">
        <v>707.8</v>
      </c>
      <c r="E245" s="13">
        <v>851.8</v>
      </c>
      <c r="F245" s="18">
        <v>729</v>
      </c>
      <c r="G245" s="18">
        <f>715.9-142.4+144.7</f>
        <v>718.2</v>
      </c>
      <c r="H245" s="18">
        <f>663.1</f>
        <v>663.1</v>
      </c>
      <c r="I245" s="18">
        <f>702.3-16.2</f>
        <v>686.09999999999991</v>
      </c>
      <c r="J245" s="13">
        <v>869.5</v>
      </c>
      <c r="K245" s="13">
        <v>869.5</v>
      </c>
      <c r="L245" s="13">
        <v>869.5</v>
      </c>
    </row>
    <row r="246" spans="1:12" ht="16.5" customHeight="1" x14ac:dyDescent="0.25">
      <c r="A246" s="34"/>
      <c r="B246" s="33" t="s">
        <v>132</v>
      </c>
      <c r="C246" s="1" t="s">
        <v>60</v>
      </c>
      <c r="D246" s="13">
        <f>SUM(D247:D248)</f>
        <v>0</v>
      </c>
      <c r="E246" s="13">
        <f t="shared" ref="E246:J246" si="237">SUM(E247:E248)</f>
        <v>0</v>
      </c>
      <c r="F246" s="18">
        <f t="shared" si="237"/>
        <v>0</v>
      </c>
      <c r="G246" s="18">
        <f t="shared" si="237"/>
        <v>0</v>
      </c>
      <c r="H246" s="18">
        <f t="shared" si="237"/>
        <v>0</v>
      </c>
      <c r="I246" s="18">
        <f t="shared" si="237"/>
        <v>15.6</v>
      </c>
      <c r="J246" s="13">
        <f t="shared" si="237"/>
        <v>20</v>
      </c>
      <c r="K246" s="13">
        <f t="shared" ref="K246:L246" si="238">SUM(K247:K248)</f>
        <v>20</v>
      </c>
      <c r="L246" s="13">
        <f t="shared" si="238"/>
        <v>20</v>
      </c>
    </row>
    <row r="247" spans="1:12" ht="16.5" customHeight="1" x14ac:dyDescent="0.25">
      <c r="A247" s="34"/>
      <c r="B247" s="34"/>
      <c r="C247" s="1" t="s">
        <v>61</v>
      </c>
      <c r="D247" s="13"/>
      <c r="E247" s="13"/>
      <c r="F247" s="18"/>
      <c r="G247" s="18"/>
      <c r="H247" s="18"/>
      <c r="I247" s="18">
        <v>15.6</v>
      </c>
      <c r="J247" s="13">
        <v>20</v>
      </c>
      <c r="K247" s="13">
        <v>20</v>
      </c>
      <c r="L247" s="13">
        <v>20</v>
      </c>
    </row>
    <row r="248" spans="1:12" ht="16.5" customHeight="1" x14ac:dyDescent="0.25">
      <c r="A248" s="35"/>
      <c r="B248" s="35"/>
      <c r="C248" s="1" t="s">
        <v>62</v>
      </c>
      <c r="D248" s="13"/>
      <c r="E248" s="13"/>
      <c r="F248" s="18"/>
      <c r="G248" s="18"/>
      <c r="H248" s="18"/>
      <c r="I248" s="18"/>
      <c r="J248" s="13"/>
      <c r="K248" s="13"/>
      <c r="L248" s="13"/>
    </row>
    <row r="249" spans="1:12" x14ac:dyDescent="0.25">
      <c r="A249" s="33" t="s">
        <v>101</v>
      </c>
      <c r="B249" s="33" t="s">
        <v>50</v>
      </c>
      <c r="C249" s="1" t="s">
        <v>60</v>
      </c>
      <c r="D249" s="13">
        <f>SUM(D250:D251)</f>
        <v>357.774</v>
      </c>
      <c r="E249" s="13">
        <f t="shared" ref="E249" si="239">SUM(E250:E251)</f>
        <v>674.00099999999998</v>
      </c>
      <c r="F249" s="18">
        <f t="shared" ref="F249" si="240">SUM(F250:F251)</f>
        <v>96.683000000000007</v>
      </c>
      <c r="G249" s="18">
        <f t="shared" ref="G249" si="241">SUM(G250:G251)</f>
        <v>212.642</v>
      </c>
      <c r="H249" s="18">
        <f t="shared" ref="H249" si="242">SUM(H250:H251)</f>
        <v>140.33500000000001</v>
      </c>
      <c r="I249" s="18">
        <f t="shared" ref="I249" si="243">SUM(I250:I251)</f>
        <v>145.066</v>
      </c>
      <c r="J249" s="13">
        <f t="shared" ref="J249:L249" si="244">SUM(J250:J251)</f>
        <v>156.65</v>
      </c>
      <c r="K249" s="13">
        <f t="shared" si="244"/>
        <v>156.65</v>
      </c>
      <c r="L249" s="13">
        <f t="shared" si="244"/>
        <v>156.65</v>
      </c>
    </row>
    <row r="250" spans="1:12" x14ac:dyDescent="0.25">
      <c r="A250" s="34"/>
      <c r="B250" s="34"/>
      <c r="C250" s="1" t="s">
        <v>61</v>
      </c>
      <c r="D250" s="13">
        <v>357.774</v>
      </c>
      <c r="E250" s="13">
        <v>674.00099999999998</v>
      </c>
      <c r="F250" s="18">
        <v>96.683000000000007</v>
      </c>
      <c r="G250" s="18">
        <v>212.642</v>
      </c>
      <c r="H250" s="18">
        <v>140.33500000000001</v>
      </c>
      <c r="I250" s="18">
        <v>145.066</v>
      </c>
      <c r="J250" s="13">
        <v>156.65</v>
      </c>
      <c r="K250" s="13">
        <v>156.65</v>
      </c>
      <c r="L250" s="13">
        <v>156.65</v>
      </c>
    </row>
    <row r="251" spans="1:12" ht="18" customHeight="1" x14ac:dyDescent="0.25">
      <c r="A251" s="35"/>
      <c r="B251" s="35"/>
      <c r="C251" s="1" t="s">
        <v>62</v>
      </c>
      <c r="D251" s="13"/>
      <c r="E251" s="13"/>
      <c r="F251" s="18"/>
      <c r="G251" s="18"/>
      <c r="H251" s="18"/>
      <c r="I251" s="18"/>
      <c r="J251" s="13"/>
      <c r="K251" s="13"/>
      <c r="L251" s="13"/>
    </row>
    <row r="252" spans="1:12" x14ac:dyDescent="0.25">
      <c r="A252" s="41" t="s">
        <v>51</v>
      </c>
      <c r="B252" s="57" t="s">
        <v>52</v>
      </c>
      <c r="C252" s="28" t="s">
        <v>60</v>
      </c>
      <c r="D252" s="15">
        <f>SUM(D253:D254)</f>
        <v>48.6</v>
      </c>
      <c r="E252" s="15">
        <f t="shared" ref="E252" si="245">SUM(E253:E254)</f>
        <v>45.545000000000002</v>
      </c>
      <c r="F252" s="19">
        <f t="shared" ref="F252" si="246">SUM(F253:F254)</f>
        <v>53.6</v>
      </c>
      <c r="G252" s="19">
        <f t="shared" ref="G252" si="247">SUM(G253:G254)</f>
        <v>17.135999999999999</v>
      </c>
      <c r="H252" s="19">
        <f t="shared" ref="H252" si="248">SUM(H253:H254)</f>
        <v>66</v>
      </c>
      <c r="I252" s="19">
        <f t="shared" ref="I252" si="249">SUM(I253:I254)</f>
        <v>0</v>
      </c>
      <c r="J252" s="15">
        <f t="shared" ref="J252:L252" si="250">SUM(J253:J254)</f>
        <v>0</v>
      </c>
      <c r="K252" s="15">
        <f t="shared" si="250"/>
        <v>0</v>
      </c>
      <c r="L252" s="15">
        <f t="shared" si="250"/>
        <v>0</v>
      </c>
    </row>
    <row r="253" spans="1:12" x14ac:dyDescent="0.25">
      <c r="A253" s="42"/>
      <c r="B253" s="57"/>
      <c r="C253" s="28" t="s">
        <v>61</v>
      </c>
      <c r="D253" s="15">
        <f>D256+D259</f>
        <v>48.6</v>
      </c>
      <c r="E253" s="15">
        <f t="shared" ref="E253:J253" si="251">E256+E259</f>
        <v>45.545000000000002</v>
      </c>
      <c r="F253" s="19">
        <f t="shared" si="251"/>
        <v>53.6</v>
      </c>
      <c r="G253" s="19">
        <f t="shared" si="251"/>
        <v>17.135999999999999</v>
      </c>
      <c r="H253" s="19">
        <f t="shared" si="251"/>
        <v>66</v>
      </c>
      <c r="I253" s="19">
        <f t="shared" si="251"/>
        <v>0</v>
      </c>
      <c r="J253" s="15">
        <f t="shared" si="251"/>
        <v>0</v>
      </c>
      <c r="K253" s="15">
        <f t="shared" ref="K253:L253" si="252">K256+K259</f>
        <v>0</v>
      </c>
      <c r="L253" s="15">
        <f t="shared" si="252"/>
        <v>0</v>
      </c>
    </row>
    <row r="254" spans="1:12" x14ac:dyDescent="0.25">
      <c r="A254" s="43"/>
      <c r="B254" s="57"/>
      <c r="C254" s="28" t="s">
        <v>62</v>
      </c>
      <c r="D254" s="15">
        <f>D257+D260</f>
        <v>0</v>
      </c>
      <c r="E254" s="15">
        <f t="shared" ref="E254:J254" si="253">E257+E260</f>
        <v>0</v>
      </c>
      <c r="F254" s="19">
        <f t="shared" si="253"/>
        <v>0</v>
      </c>
      <c r="G254" s="19">
        <f t="shared" si="253"/>
        <v>0</v>
      </c>
      <c r="H254" s="19">
        <f t="shared" si="253"/>
        <v>0</v>
      </c>
      <c r="I254" s="19">
        <f t="shared" si="253"/>
        <v>0</v>
      </c>
      <c r="J254" s="15">
        <f t="shared" si="253"/>
        <v>0</v>
      </c>
      <c r="K254" s="15">
        <f t="shared" ref="K254:L254" si="254">K257+K260</f>
        <v>0</v>
      </c>
      <c r="L254" s="15">
        <f t="shared" si="254"/>
        <v>0</v>
      </c>
    </row>
    <row r="255" spans="1:12" x14ac:dyDescent="0.25">
      <c r="A255" s="33" t="s">
        <v>102</v>
      </c>
      <c r="B255" s="36" t="s">
        <v>53</v>
      </c>
      <c r="C255" s="1" t="s">
        <v>60</v>
      </c>
      <c r="D255" s="13">
        <f>SUM(D256:D257)</f>
        <v>27.5</v>
      </c>
      <c r="E255" s="13">
        <f t="shared" ref="E255" si="255">SUM(E256:E257)</f>
        <v>24.895</v>
      </c>
      <c r="F255" s="18">
        <f t="shared" ref="F255" si="256">SUM(F256:F257)</f>
        <v>32.5</v>
      </c>
      <c r="G255" s="18">
        <f t="shared" ref="G255" si="257">SUM(G256:G257)</f>
        <v>4.1360000000000001</v>
      </c>
      <c r="H255" s="18">
        <f t="shared" ref="H255" si="258">SUM(H256:H257)</f>
        <v>53</v>
      </c>
      <c r="I255" s="18">
        <f t="shared" ref="I255" si="259">SUM(I256:I257)</f>
        <v>0</v>
      </c>
      <c r="J255" s="13">
        <f t="shared" ref="J255:L255" si="260">SUM(J256:J257)</f>
        <v>0</v>
      </c>
      <c r="K255" s="13">
        <f t="shared" si="260"/>
        <v>0</v>
      </c>
      <c r="L255" s="13">
        <f t="shared" si="260"/>
        <v>0</v>
      </c>
    </row>
    <row r="256" spans="1:12" x14ac:dyDescent="0.25">
      <c r="A256" s="34"/>
      <c r="B256" s="36"/>
      <c r="C256" s="1" t="s">
        <v>61</v>
      </c>
      <c r="D256" s="13">
        <v>27.5</v>
      </c>
      <c r="E256" s="13">
        <v>24.895</v>
      </c>
      <c r="F256" s="18">
        <v>32.5</v>
      </c>
      <c r="G256" s="18">
        <f>12-7.864</f>
        <v>4.1360000000000001</v>
      </c>
      <c r="H256" s="18">
        <v>53</v>
      </c>
      <c r="I256" s="18">
        <v>0</v>
      </c>
      <c r="J256" s="13">
        <v>0</v>
      </c>
      <c r="K256" s="13">
        <v>0</v>
      </c>
      <c r="L256" s="13">
        <v>0</v>
      </c>
    </row>
    <row r="257" spans="1:12" ht="17.25" customHeight="1" x14ac:dyDescent="0.25">
      <c r="A257" s="35"/>
      <c r="B257" s="36"/>
      <c r="C257" s="1" t="s">
        <v>62</v>
      </c>
      <c r="D257" s="13"/>
      <c r="E257" s="13"/>
      <c r="F257" s="18"/>
      <c r="G257" s="18"/>
      <c r="H257" s="18"/>
      <c r="I257" s="18"/>
      <c r="J257" s="13"/>
      <c r="K257" s="13"/>
      <c r="L257" s="13"/>
    </row>
    <row r="258" spans="1:12" ht="16.95" customHeight="1" x14ac:dyDescent="0.25">
      <c r="A258" s="33" t="s">
        <v>103</v>
      </c>
      <c r="B258" s="33" t="s">
        <v>54</v>
      </c>
      <c r="C258" s="1" t="s">
        <v>60</v>
      </c>
      <c r="D258" s="13">
        <f>SUM(D259:D260)</f>
        <v>21.1</v>
      </c>
      <c r="E258" s="13">
        <f t="shared" ref="E258" si="261">SUM(E259:E260)</f>
        <v>20.65</v>
      </c>
      <c r="F258" s="18">
        <f t="shared" ref="F258" si="262">SUM(F259:F260)</f>
        <v>21.1</v>
      </c>
      <c r="G258" s="18">
        <f t="shared" ref="G258" si="263">SUM(G259:G260)</f>
        <v>13</v>
      </c>
      <c r="H258" s="18">
        <f t="shared" ref="H258" si="264">SUM(H259:H260)</f>
        <v>13</v>
      </c>
      <c r="I258" s="18">
        <f t="shared" ref="I258" si="265">SUM(I259:I260)</f>
        <v>0</v>
      </c>
      <c r="J258" s="13">
        <f t="shared" ref="J258:L258" si="266">SUM(J259:J260)</f>
        <v>0</v>
      </c>
      <c r="K258" s="13">
        <f t="shared" si="266"/>
        <v>0</v>
      </c>
      <c r="L258" s="13">
        <f t="shared" si="266"/>
        <v>0</v>
      </c>
    </row>
    <row r="259" spans="1:12" x14ac:dyDescent="0.25">
      <c r="A259" s="34"/>
      <c r="B259" s="34"/>
      <c r="C259" s="1" t="s">
        <v>61</v>
      </c>
      <c r="D259" s="13">
        <v>21.1</v>
      </c>
      <c r="E259" s="13">
        <v>20.65</v>
      </c>
      <c r="F259" s="18">
        <v>21.1</v>
      </c>
      <c r="G259" s="18">
        <v>13</v>
      </c>
      <c r="H259" s="18">
        <v>13</v>
      </c>
      <c r="I259" s="18">
        <v>0</v>
      </c>
      <c r="J259" s="13">
        <v>0</v>
      </c>
      <c r="K259" s="13">
        <v>0</v>
      </c>
      <c r="L259" s="13">
        <v>0</v>
      </c>
    </row>
    <row r="260" spans="1:12" ht="17.25" customHeight="1" x14ac:dyDescent="0.25">
      <c r="A260" s="35"/>
      <c r="B260" s="35"/>
      <c r="C260" s="1" t="s">
        <v>62</v>
      </c>
      <c r="D260" s="13"/>
      <c r="E260" s="13"/>
      <c r="F260" s="18"/>
      <c r="G260" s="18"/>
      <c r="H260" s="18"/>
      <c r="I260" s="18"/>
      <c r="J260" s="13"/>
      <c r="K260" s="13"/>
      <c r="L260" s="13"/>
    </row>
    <row r="261" spans="1:12" x14ac:dyDescent="0.25">
      <c r="A261" s="41" t="s">
        <v>55</v>
      </c>
      <c r="B261" s="58" t="s">
        <v>56</v>
      </c>
      <c r="C261" s="28" t="s">
        <v>60</v>
      </c>
      <c r="D261" s="15">
        <f>SUM(D262:D263)</f>
        <v>14457.853999999999</v>
      </c>
      <c r="E261" s="15">
        <f t="shared" ref="E261" si="267">SUM(E262:E263)</f>
        <v>17711</v>
      </c>
      <c r="F261" s="19">
        <f t="shared" ref="F261" si="268">SUM(F262:F263)</f>
        <v>18075.886000000002</v>
      </c>
      <c r="G261" s="19">
        <f t="shared" ref="G261" si="269">SUM(G262:G263)</f>
        <v>17562.537</v>
      </c>
      <c r="H261" s="19">
        <f t="shared" ref="H261" si="270">SUM(H262:H263)</f>
        <v>18587.968000000001</v>
      </c>
      <c r="I261" s="19">
        <f t="shared" ref="I261" si="271">SUM(I262:I263)</f>
        <v>19978.394000000004</v>
      </c>
      <c r="J261" s="15">
        <f t="shared" ref="J261:L261" si="272">SUM(J262:J263)</f>
        <v>24519.012999999999</v>
      </c>
      <c r="K261" s="15">
        <f t="shared" si="272"/>
        <v>24519.012999999999</v>
      </c>
      <c r="L261" s="15">
        <f t="shared" si="272"/>
        <v>24519.012999999999</v>
      </c>
    </row>
    <row r="262" spans="1:12" x14ac:dyDescent="0.25">
      <c r="A262" s="42"/>
      <c r="B262" s="59"/>
      <c r="C262" s="28" t="s">
        <v>61</v>
      </c>
      <c r="D262" s="15">
        <f>D265+D268</f>
        <v>14457.853999999999</v>
      </c>
      <c r="E262" s="15">
        <f t="shared" ref="E262:J262" si="273">E265+E268</f>
        <v>17711</v>
      </c>
      <c r="F262" s="19">
        <f t="shared" si="273"/>
        <v>18075.886000000002</v>
      </c>
      <c r="G262" s="19">
        <f t="shared" si="273"/>
        <v>17562.537</v>
      </c>
      <c r="H262" s="19">
        <f t="shared" si="273"/>
        <v>18587.968000000001</v>
      </c>
      <c r="I262" s="19">
        <f t="shared" si="273"/>
        <v>19978.394000000004</v>
      </c>
      <c r="J262" s="15">
        <f t="shared" si="273"/>
        <v>24519.012999999999</v>
      </c>
      <c r="K262" s="15">
        <f t="shared" ref="K262:L262" si="274">K265+K268</f>
        <v>24519.012999999999</v>
      </c>
      <c r="L262" s="15">
        <f t="shared" si="274"/>
        <v>24519.012999999999</v>
      </c>
    </row>
    <row r="263" spans="1:12" ht="31.5" customHeight="1" x14ac:dyDescent="0.25">
      <c r="A263" s="43"/>
      <c r="B263" s="60"/>
      <c r="C263" s="28" t="s">
        <v>62</v>
      </c>
      <c r="D263" s="15">
        <f>D266+D269</f>
        <v>0</v>
      </c>
      <c r="E263" s="15">
        <f t="shared" ref="E263:J263" si="275">E266+E269</f>
        <v>0</v>
      </c>
      <c r="F263" s="19">
        <f t="shared" si="275"/>
        <v>0</v>
      </c>
      <c r="G263" s="19">
        <f t="shared" si="275"/>
        <v>0</v>
      </c>
      <c r="H263" s="19">
        <f t="shared" si="275"/>
        <v>0</v>
      </c>
      <c r="I263" s="19">
        <f t="shared" si="275"/>
        <v>0</v>
      </c>
      <c r="J263" s="15">
        <f t="shared" si="275"/>
        <v>0</v>
      </c>
      <c r="K263" s="15">
        <f t="shared" ref="K263:L263" si="276">K266+K269</f>
        <v>0</v>
      </c>
      <c r="L263" s="15">
        <f t="shared" si="276"/>
        <v>0</v>
      </c>
    </row>
    <row r="264" spans="1:12" ht="20.399999999999999" customHeight="1" x14ac:dyDescent="0.25">
      <c r="A264" s="33" t="s">
        <v>104</v>
      </c>
      <c r="B264" s="33" t="s">
        <v>57</v>
      </c>
      <c r="C264" s="1" t="s">
        <v>60</v>
      </c>
      <c r="D264" s="13">
        <f>SUM(D265:D266)</f>
        <v>2843.2020000000002</v>
      </c>
      <c r="E264" s="13">
        <f t="shared" ref="E264" si="277">SUM(E265:E266)</f>
        <v>17711</v>
      </c>
      <c r="F264" s="18">
        <f t="shared" ref="F264" si="278">SUM(F265:F266)</f>
        <v>18075.886000000002</v>
      </c>
      <c r="G264" s="18">
        <f t="shared" ref="G264" si="279">SUM(G265:G266)</f>
        <v>17562.537</v>
      </c>
      <c r="H264" s="18">
        <f t="shared" ref="H264" si="280">SUM(H265:H266)</f>
        <v>18587.968000000001</v>
      </c>
      <c r="I264" s="18">
        <f t="shared" ref="I264" si="281">SUM(I265:I266)</f>
        <v>19978.394000000004</v>
      </c>
      <c r="J264" s="13">
        <f t="shared" ref="J264:L264" si="282">SUM(J265:J266)</f>
        <v>24519.012999999999</v>
      </c>
      <c r="K264" s="13">
        <f t="shared" si="282"/>
        <v>24519.012999999999</v>
      </c>
      <c r="L264" s="13">
        <f t="shared" si="282"/>
        <v>24519.012999999999</v>
      </c>
    </row>
    <row r="265" spans="1:12" x14ac:dyDescent="0.25">
      <c r="A265" s="34"/>
      <c r="B265" s="34"/>
      <c r="C265" s="1" t="s">
        <v>61</v>
      </c>
      <c r="D265" s="13">
        <v>2843.2020000000002</v>
      </c>
      <c r="E265" s="13">
        <v>17711</v>
      </c>
      <c r="F265" s="18">
        <f>17840.9-10-10+255-70.7+70.7-0.014</f>
        <v>18075.886000000002</v>
      </c>
      <c r="G265" s="18">
        <v>17562.537</v>
      </c>
      <c r="H265" s="18">
        <v>18587.968000000001</v>
      </c>
      <c r="I265" s="18">
        <f>20618.627-2320.162+32.2+20+311.609+1428.97-112.85</f>
        <v>19978.394000000004</v>
      </c>
      <c r="J265" s="13">
        <v>24519.012999999999</v>
      </c>
      <c r="K265" s="13">
        <v>24519.012999999999</v>
      </c>
      <c r="L265" s="13">
        <v>24519.012999999999</v>
      </c>
    </row>
    <row r="266" spans="1:12" ht="15.75" customHeight="1" x14ac:dyDescent="0.25">
      <c r="A266" s="35"/>
      <c r="B266" s="35"/>
      <c r="C266" s="1" t="s">
        <v>62</v>
      </c>
      <c r="D266" s="13"/>
      <c r="E266" s="13"/>
      <c r="F266" s="18"/>
      <c r="G266" s="18"/>
      <c r="H266" s="18"/>
      <c r="I266" s="18"/>
      <c r="J266" s="13"/>
      <c r="K266" s="13"/>
      <c r="L266" s="13"/>
    </row>
    <row r="267" spans="1:12" x14ac:dyDescent="0.25">
      <c r="A267" s="33" t="s">
        <v>105</v>
      </c>
      <c r="B267" s="33" t="s">
        <v>58</v>
      </c>
      <c r="C267" s="1" t="s">
        <v>60</v>
      </c>
      <c r="D267" s="13">
        <f>SUM(D268:D269)</f>
        <v>11614.652</v>
      </c>
      <c r="E267" s="13">
        <f t="shared" ref="E267" si="283">SUM(E268:E269)</f>
        <v>0</v>
      </c>
      <c r="F267" s="18">
        <f t="shared" ref="F267" si="284">SUM(F268:F269)</f>
        <v>0</v>
      </c>
      <c r="G267" s="18">
        <f t="shared" ref="G267" si="285">SUM(G268:G269)</f>
        <v>0</v>
      </c>
      <c r="H267" s="18">
        <f t="shared" ref="H267" si="286">SUM(H268:H269)</f>
        <v>0</v>
      </c>
      <c r="I267" s="18">
        <f t="shared" ref="I267" si="287">SUM(I268:I269)</f>
        <v>0</v>
      </c>
      <c r="J267" s="13">
        <f t="shared" ref="J267:L267" si="288">SUM(J268:J269)</f>
        <v>0</v>
      </c>
      <c r="K267" s="13">
        <f t="shared" si="288"/>
        <v>0</v>
      </c>
      <c r="L267" s="13">
        <f t="shared" si="288"/>
        <v>0</v>
      </c>
    </row>
    <row r="268" spans="1:12" x14ac:dyDescent="0.25">
      <c r="A268" s="34"/>
      <c r="B268" s="34"/>
      <c r="C268" s="1" t="s">
        <v>61</v>
      </c>
      <c r="D268" s="13">
        <v>11614.652</v>
      </c>
      <c r="E268" s="13">
        <v>0</v>
      </c>
      <c r="F268" s="18">
        <v>0</v>
      </c>
      <c r="G268" s="18">
        <v>0</v>
      </c>
      <c r="H268" s="18">
        <v>0</v>
      </c>
      <c r="I268" s="18">
        <v>0</v>
      </c>
      <c r="J268" s="13">
        <v>0</v>
      </c>
      <c r="K268" s="13">
        <v>0</v>
      </c>
      <c r="L268" s="13">
        <v>0</v>
      </c>
    </row>
    <row r="269" spans="1:12" ht="18.75" customHeight="1" x14ac:dyDescent="0.25">
      <c r="A269" s="35"/>
      <c r="B269" s="35"/>
      <c r="C269" s="9" t="s">
        <v>62</v>
      </c>
      <c r="D269" s="2"/>
      <c r="E269" s="2"/>
      <c r="F269" s="20"/>
      <c r="G269" s="20"/>
      <c r="H269" s="20"/>
      <c r="I269" s="20"/>
      <c r="J269" s="2"/>
      <c r="K269" s="2"/>
      <c r="L269" s="2"/>
    </row>
  </sheetData>
  <mergeCells count="154">
    <mergeCell ref="B156:B158"/>
    <mergeCell ref="B184:B186"/>
    <mergeCell ref="A187:A189"/>
    <mergeCell ref="B187:B189"/>
    <mergeCell ref="A150:A152"/>
    <mergeCell ref="B162:B164"/>
    <mergeCell ref="B52:B54"/>
    <mergeCell ref="A37:A39"/>
    <mergeCell ref="A165:A167"/>
    <mergeCell ref="B95:B97"/>
    <mergeCell ref="B98:B100"/>
    <mergeCell ref="B64:B66"/>
    <mergeCell ref="B113:B115"/>
    <mergeCell ref="A107:A109"/>
    <mergeCell ref="A92:A94"/>
    <mergeCell ref="B92:B94"/>
    <mergeCell ref="B107:B109"/>
    <mergeCell ref="A95:A106"/>
    <mergeCell ref="B104:B106"/>
    <mergeCell ref="A70:A72"/>
    <mergeCell ref="B70:B72"/>
    <mergeCell ref="B159:B161"/>
    <mergeCell ref="A156:A161"/>
    <mergeCell ref="A58:A60"/>
    <mergeCell ref="A193:A203"/>
    <mergeCell ref="B201:B203"/>
    <mergeCell ref="B150:B152"/>
    <mergeCell ref="B165:B167"/>
    <mergeCell ref="B153:B155"/>
    <mergeCell ref="A162:A164"/>
    <mergeCell ref="A153:A155"/>
    <mergeCell ref="B181:B183"/>
    <mergeCell ref="C5:C6"/>
    <mergeCell ref="A5:A6"/>
    <mergeCell ref="B5:B6"/>
    <mergeCell ref="A15:A26"/>
    <mergeCell ref="B15:B17"/>
    <mergeCell ref="B18:B20"/>
    <mergeCell ref="A49:A51"/>
    <mergeCell ref="B49:B51"/>
    <mergeCell ref="A52:A54"/>
    <mergeCell ref="B24:B26"/>
    <mergeCell ref="B30:B33"/>
    <mergeCell ref="A27:A33"/>
    <mergeCell ref="B34:B36"/>
    <mergeCell ref="B46:B48"/>
    <mergeCell ref="B27:B29"/>
    <mergeCell ref="A34:A36"/>
    <mergeCell ref="B225:B227"/>
    <mergeCell ref="A231:A233"/>
    <mergeCell ref="B231:B233"/>
    <mergeCell ref="A234:A236"/>
    <mergeCell ref="B234:B236"/>
    <mergeCell ref="A228:A230"/>
    <mergeCell ref="B228:B230"/>
    <mergeCell ref="B246:B248"/>
    <mergeCell ref="A240:A248"/>
    <mergeCell ref="A237:A239"/>
    <mergeCell ref="B237:B239"/>
    <mergeCell ref="B240:B242"/>
    <mergeCell ref="B243:B245"/>
    <mergeCell ref="A264:A266"/>
    <mergeCell ref="B264:B266"/>
    <mergeCell ref="A267:A269"/>
    <mergeCell ref="B267:B269"/>
    <mergeCell ref="A252:A254"/>
    <mergeCell ref="B252:B254"/>
    <mergeCell ref="A255:A257"/>
    <mergeCell ref="B255:B257"/>
    <mergeCell ref="A258:A260"/>
    <mergeCell ref="B258:B260"/>
    <mergeCell ref="A261:A263"/>
    <mergeCell ref="B261:B263"/>
    <mergeCell ref="A249:A251"/>
    <mergeCell ref="B249:B251"/>
    <mergeCell ref="A216:A218"/>
    <mergeCell ref="B216:B218"/>
    <mergeCell ref="A219:A221"/>
    <mergeCell ref="B219:B221"/>
    <mergeCell ref="A172:A174"/>
    <mergeCell ref="B172:B174"/>
    <mergeCell ref="A175:A177"/>
    <mergeCell ref="B175:B177"/>
    <mergeCell ref="A184:A186"/>
    <mergeCell ref="A178:A180"/>
    <mergeCell ref="A213:A215"/>
    <mergeCell ref="B213:B215"/>
    <mergeCell ref="A190:A192"/>
    <mergeCell ref="B190:B192"/>
    <mergeCell ref="B204:B206"/>
    <mergeCell ref="B207:B209"/>
    <mergeCell ref="B197:B200"/>
    <mergeCell ref="B178:B180"/>
    <mergeCell ref="A181:A183"/>
    <mergeCell ref="B193:B196"/>
    <mergeCell ref="B222:B224"/>
    <mergeCell ref="A222:A227"/>
    <mergeCell ref="A204:A212"/>
    <mergeCell ref="B210:B212"/>
    <mergeCell ref="A61:A63"/>
    <mergeCell ref="B61:B63"/>
    <mergeCell ref="B77:B79"/>
    <mergeCell ref="B80:B82"/>
    <mergeCell ref="A89:A91"/>
    <mergeCell ref="B89:B91"/>
    <mergeCell ref="A64:A66"/>
    <mergeCell ref="A67:A69"/>
    <mergeCell ref="B67:B69"/>
    <mergeCell ref="B83:B85"/>
    <mergeCell ref="B101:B103"/>
    <mergeCell ref="B110:B112"/>
    <mergeCell ref="B140:B143"/>
    <mergeCell ref="A77:A88"/>
    <mergeCell ref="B86:B88"/>
    <mergeCell ref="A128:A130"/>
    <mergeCell ref="B128:B130"/>
    <mergeCell ref="A131:A133"/>
    <mergeCell ref="B131:B133"/>
    <mergeCell ref="A119:A121"/>
    <mergeCell ref="B119:B121"/>
    <mergeCell ref="A168:A171"/>
    <mergeCell ref="F1:L1"/>
    <mergeCell ref="A3:L3"/>
    <mergeCell ref="D5:L5"/>
    <mergeCell ref="B11:B14"/>
    <mergeCell ref="A11:A14"/>
    <mergeCell ref="A73:A76"/>
    <mergeCell ref="B73:B76"/>
    <mergeCell ref="B21:B23"/>
    <mergeCell ref="B168:B171"/>
    <mergeCell ref="B58:B60"/>
    <mergeCell ref="A110:A115"/>
    <mergeCell ref="A147:A149"/>
    <mergeCell ref="B147:B149"/>
    <mergeCell ref="A116:A118"/>
    <mergeCell ref="B116:B118"/>
    <mergeCell ref="A122:A124"/>
    <mergeCell ref="B122:B124"/>
    <mergeCell ref="A125:A127"/>
    <mergeCell ref="B125:B127"/>
    <mergeCell ref="B144:B146"/>
    <mergeCell ref="A137:A146"/>
    <mergeCell ref="B137:B139"/>
    <mergeCell ref="B7:B10"/>
    <mergeCell ref="A7:A10"/>
    <mergeCell ref="A134:A136"/>
    <mergeCell ref="B134:B136"/>
    <mergeCell ref="B37:B39"/>
    <mergeCell ref="A40:A42"/>
    <mergeCell ref="B40:B42"/>
    <mergeCell ref="B43:B45"/>
    <mergeCell ref="A43:A48"/>
    <mergeCell ref="A55:A57"/>
    <mergeCell ref="B55:B57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2020-04-22T09:37:02Z</dcterms:modified>
</cp:coreProperties>
</file>