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H38" i="1"/>
  <c r="O38"/>
  <c r="P38"/>
  <c r="Q38"/>
  <c r="N38"/>
  <c r="M38"/>
  <c r="L38"/>
  <c r="K38"/>
  <c r="J38"/>
  <c r="I38"/>
  <c r="O76" l="1"/>
  <c r="H41"/>
  <c r="H48"/>
  <c r="H49"/>
  <c r="O46"/>
  <c r="O39"/>
  <c r="O30"/>
  <c r="L31"/>
  <c r="K31"/>
  <c r="H31" s="1"/>
  <c r="J76"/>
  <c r="P76"/>
  <c r="Q76"/>
  <c r="I76"/>
  <c r="H107"/>
  <c r="H106"/>
  <c r="I10"/>
  <c r="J10"/>
  <c r="H33"/>
  <c r="H32" l="1"/>
  <c r="H23"/>
  <c r="O22"/>
  <c r="O12"/>
  <c r="H120" l="1"/>
  <c r="H114"/>
  <c r="H109"/>
  <c r="H104"/>
  <c r="H103"/>
  <c r="H99"/>
  <c r="H97"/>
  <c r="H96"/>
  <c r="H85"/>
  <c r="H82"/>
  <c r="H78"/>
  <c r="H75"/>
  <c r="H74"/>
  <c r="H67"/>
  <c r="H66"/>
  <c r="H64"/>
  <c r="H60"/>
  <c r="H58"/>
  <c r="H57"/>
  <c r="H55"/>
  <c r="H52"/>
  <c r="H51"/>
  <c r="H50"/>
  <c r="H43"/>
  <c r="H42"/>
  <c r="H37"/>
  <c r="H29"/>
  <c r="H27"/>
  <c r="H25"/>
  <c r="H14"/>
  <c r="H15"/>
  <c r="H17"/>
  <c r="H18"/>
  <c r="L72"/>
  <c r="H72" s="1"/>
  <c r="O34" l="1"/>
  <c r="O10" s="1"/>
  <c r="Q12"/>
  <c r="Q10" s="1"/>
  <c r="P12"/>
  <c r="P10" s="1"/>
  <c r="Q123"/>
  <c r="Q121" s="1"/>
  <c r="P123"/>
  <c r="P121" s="1"/>
  <c r="Q116"/>
  <c r="P116"/>
  <c r="Q110"/>
  <c r="P110"/>
  <c r="P9" l="1"/>
  <c r="Q9"/>
  <c r="O110" l="1"/>
  <c r="N124"/>
  <c r="N125"/>
  <c r="N94"/>
  <c r="N80"/>
  <c r="N46"/>
  <c r="N40"/>
  <c r="N39"/>
  <c r="N13"/>
  <c r="N12"/>
  <c r="H80" l="1"/>
  <c r="N126"/>
  <c r="N56"/>
  <c r="N54"/>
  <c r="N34"/>
  <c r="N22"/>
  <c r="N47" l="1"/>
  <c r="N45"/>
  <c r="N44"/>
  <c r="N24"/>
  <c r="N16"/>
  <c r="H16" s="1"/>
  <c r="H44" l="1"/>
  <c r="N10"/>
  <c r="K115"/>
  <c r="H115" s="1"/>
  <c r="K94"/>
  <c r="H94" s="1"/>
  <c r="K88"/>
  <c r="K54"/>
  <c r="K47"/>
  <c r="K39"/>
  <c r="K24"/>
  <c r="K13"/>
  <c r="K12"/>
  <c r="L113" l="1"/>
  <c r="L101"/>
  <c r="L95"/>
  <c r="L39"/>
  <c r="L12"/>
  <c r="L30"/>
  <c r="H39" l="1"/>
  <c r="M95"/>
  <c r="N95" l="1"/>
  <c r="H95" s="1"/>
  <c r="N90" l="1"/>
  <c r="N76" s="1"/>
  <c r="N123" l="1"/>
  <c r="O123"/>
  <c r="N113"/>
  <c r="N112"/>
  <c r="N70"/>
  <c r="N73"/>
  <c r="N110" l="1"/>
  <c r="M12"/>
  <c r="H12" l="1"/>
  <c r="M90"/>
  <c r="M73"/>
  <c r="H73" s="1"/>
  <c r="M70"/>
  <c r="H70" s="1"/>
  <c r="M54"/>
  <c r="H54" s="1"/>
  <c r="M53"/>
  <c r="M47"/>
  <c r="M46"/>
  <c r="M40"/>
  <c r="M34"/>
  <c r="M24"/>
  <c r="M21"/>
  <c r="M19"/>
  <c r="M13"/>
  <c r="M10" l="1"/>
  <c r="H90"/>
  <c r="M116"/>
  <c r="M113"/>
  <c r="H113" s="1"/>
  <c r="M112"/>
  <c r="M88"/>
  <c r="H88" s="1"/>
  <c r="M62"/>
  <c r="H62" s="1"/>
  <c r="M59"/>
  <c r="H59" s="1"/>
  <c r="M76" l="1"/>
  <c r="H127"/>
  <c r="M45"/>
  <c r="O121"/>
  <c r="O116"/>
  <c r="O9" s="1"/>
  <c r="L71" l="1"/>
  <c r="H71" s="1"/>
  <c r="L47"/>
  <c r="H47" s="1"/>
  <c r="L40"/>
  <c r="L21"/>
  <c r="L36"/>
  <c r="H36" s="1"/>
  <c r="L13"/>
  <c r="L56"/>
  <c r="L24"/>
  <c r="H24" s="1"/>
  <c r="L118"/>
  <c r="L87"/>
  <c r="L10" l="1"/>
  <c r="H87"/>
  <c r="H13"/>
  <c r="L108"/>
  <c r="H108" s="1"/>
  <c r="L92"/>
  <c r="L63"/>
  <c r="L53"/>
  <c r="L69"/>
  <c r="H69" s="1"/>
  <c r="L65"/>
  <c r="H65" s="1"/>
  <c r="L76" l="1"/>
  <c r="N121"/>
  <c r="N116"/>
  <c r="N9" l="1"/>
  <c r="K123"/>
  <c r="H123" s="1"/>
  <c r="K118"/>
  <c r="H118" s="1"/>
  <c r="K105"/>
  <c r="H105" s="1"/>
  <c r="K101"/>
  <c r="H101" s="1"/>
  <c r="K92"/>
  <c r="H92" s="1"/>
  <c r="K91"/>
  <c r="H91" s="1"/>
  <c r="K84"/>
  <c r="K61"/>
  <c r="H61" s="1"/>
  <c r="K53"/>
  <c r="H53" s="1"/>
  <c r="K46"/>
  <c r="H46" s="1"/>
  <c r="K45"/>
  <c r="H45" s="1"/>
  <c r="K40"/>
  <c r="K21"/>
  <c r="H21" s="1"/>
  <c r="K19"/>
  <c r="K112"/>
  <c r="H112" s="1"/>
  <c r="K34"/>
  <c r="H34" s="1"/>
  <c r="K30"/>
  <c r="H30" s="1"/>
  <c r="K35"/>
  <c r="H35" s="1"/>
  <c r="K22"/>
  <c r="H22" s="1"/>
  <c r="H40" l="1"/>
  <c r="H84"/>
  <c r="H19"/>
  <c r="K63"/>
  <c r="H63" s="1"/>
  <c r="K56"/>
  <c r="H56" s="1"/>
  <c r="K28"/>
  <c r="H28" s="1"/>
  <c r="K100"/>
  <c r="H100" s="1"/>
  <c r="J121"/>
  <c r="L121"/>
  <c r="M121"/>
  <c r="I121"/>
  <c r="J116"/>
  <c r="K116"/>
  <c r="L116"/>
  <c r="I116"/>
  <c r="J110"/>
  <c r="L110"/>
  <c r="M110"/>
  <c r="M9" s="1"/>
  <c r="I110"/>
  <c r="K76" l="1"/>
  <c r="H76" s="1"/>
  <c r="K10"/>
  <c r="H10" s="1"/>
  <c r="H116"/>
  <c r="I9"/>
  <c r="L9"/>
  <c r="K110"/>
  <c r="H110" s="1"/>
  <c r="K121"/>
  <c r="H121" s="1"/>
  <c r="J9"/>
  <c r="K9" l="1"/>
  <c r="H9" s="1"/>
</calcChain>
</file>

<file path=xl/sharedStrings.xml><?xml version="1.0" encoding="utf-8"?>
<sst xmlns="http://schemas.openxmlformats.org/spreadsheetml/2006/main" count="587" uniqueCount="286">
  <si>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</si>
  <si>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</si>
  <si>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</si>
  <si>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</si>
  <si>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</si>
  <si>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</si>
  <si>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</si>
  <si>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</si>
  <si>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</si>
  <si>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</si>
  <si>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</si>
  <si>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</si>
  <si>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</si>
  <si>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</si>
  <si>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</si>
  <si>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</si>
  <si>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</si>
  <si>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</si>
  <si>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</si>
  <si>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</si>
  <si>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</si>
  <si>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</si>
  <si>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</si>
  <si>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</si>
  <si>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</si>
  <si>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</si>
  <si>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</si>
  <si>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</si>
  <si>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</si>
  <si>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</si>
  <si>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</si>
  <si>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</si>
  <si>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</si>
  <si>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</si>
  <si>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</si>
  <si>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</si>
  <si>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</si>
  <si>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</si>
  <si>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</si>
  <si>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</si>
  <si>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</si>
  <si>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</si>
  <si>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</si>
  <si>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</si>
  <si>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</si>
  <si>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</si>
  <si>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</si>
  <si>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</si>
  <si>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</si>
  <si>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</si>
  <si>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</si>
  <si>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</si>
  <si>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</si>
  <si>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</si>
  <si>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</si>
  <si>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</si>
  <si>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</si>
  <si>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</si>
  <si>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</si>
  <si>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</si>
  <si>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</si>
  <si>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</si>
  <si>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</si>
  <si>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</si>
  <si>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</si>
  <si>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</si>
  <si>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</si>
  <si>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</si>
  <si>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</si>
  <si>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</si>
  <si>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</si>
  <si>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</si>
  <si>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</si>
  <si>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</si>
  <si>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</si>
  <si>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</si>
  <si>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</si>
  <si>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</si>
  <si>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</si>
  <si>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</si>
  <si>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</si>
  <si>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</si>
  <si>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</si>
  <si>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</si>
  <si>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</si>
  <si>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</si>
  <si>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</si>
  <si>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</si>
  <si>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</si>
  <si>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</si>
  <si>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</si>
  <si>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</si>
  <si>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</si>
  <si>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</si>
  <si>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</si>
  <si>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</si>
  <si>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</si>
  <si>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</si>
  <si>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</si>
  <si>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</si>
  <si>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</si>
  <si>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</si>
  <si>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</si>
  <si>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</si>
  <si>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</si>
  <si>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</si>
  <si>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</si>
  <si>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</si>
  <si>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</si>
  <si>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</si>
  <si>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</si>
  <si>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</si>
  <si>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</si>
  <si>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</si>
  <si>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</si>
  <si>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</si>
  <si>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</si>
  <si>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</si>
  <si>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</si>
  <si>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</si>
  <si>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</si>
  <si>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</si>
  <si>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</si>
  <si>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</si>
  <si>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</si>
  <si>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</si>
  <si>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</si>
  <si>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</si>
  <si>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</si>
  <si>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</si>
  <si>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</si>
  <si>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</si>
  <si>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</si>
  <si>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</si>
  <si>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</si>
  <si>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</si>
  <si>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</si>
  <si>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</si>
  <si>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</si>
  <si>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</si>
  <si>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</si>
  <si>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</si>
  <si>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</si>
  <si>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</si>
  <si>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</si>
  <si>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</si>
  <si>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</si>
  <si>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</si>
  <si>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</si>
  <si>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</si>
  <si>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</si>
  <si>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</si>
  <si>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</si>
  <si>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</si>
  <si>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</si>
  <si>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</si>
  <si>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</si>
  <si>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</si>
  <si>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</si>
  <si>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</si>
  <si>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</si>
  <si>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</si>
  <si>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</si>
  <si>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</si>
  <si>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</si>
  <si>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</si>
  <si>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</si>
  <si>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</si>
  <si>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</si>
  <si>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</si>
  <si>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</si>
  <si>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</si>
  <si>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</si>
  <si>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</si>
  <si>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</si>
  <si>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</si>
  <si>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</si>
  <si>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</si>
  <si>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</si>
  <si>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</si>
  <si>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</si>
  <si>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</si>
  <si>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</si>
  <si>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</si>
  <si>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</si>
  <si>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</si>
  <si>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</si>
  <si>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</si>
  <si>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</si>
  <si>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</si>
  <si>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</si>
  <si>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</si>
  <si>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</si>
  <si>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</si>
  <si>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</si>
  <si>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</si>
  <si>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</si>
  <si>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</si>
  <si>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</si>
  <si>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</si>
  <si>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</si>
  <si>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</si>
  <si>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</si>
  <si>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</si>
  <si>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</si>
  <si>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</si>
  <si>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</si>
  <si>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</si>
  <si>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</si>
  <si>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</si>
  <si>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</si>
  <si>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</si>
  <si>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</si>
  <si>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</si>
  <si>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</si>
  <si>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</si>
  <si>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</si>
  <si>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</si>
  <si>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</si>
  <si>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</si>
  <si>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</si>
  <si>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3 3Л S2700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</si>
  <si>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</si>
  <si>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</si>
  <si>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</si>
  <si>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</si>
  <si>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</si>
  <si>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</si>
  <si>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</si>
  <si>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</si>
  <si>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</si>
  <si>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</si>
  <si>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</si>
  <si>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</si>
  <si>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</si>
  <si>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</si>
  <si>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</si>
  <si>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</si>
  <si>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</si>
  <si>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>к Муниципальной программе "Развитие образования в Княжпогостком районе"</t>
  </si>
  <si>
    <t>100</t>
  </si>
  <si>
    <t>800</t>
  </si>
  <si>
    <t>Субсидии на открытие дополнительных классов</t>
  </si>
  <si>
    <t>04 2 2У 00000</t>
  </si>
  <si>
    <t>04 1 1А S2850</t>
  </si>
  <si>
    <t>1.1.3. Мероприятия по организации деятельности по сбору и транспортированию твёрдых коммунальных отходов</t>
  </si>
  <si>
    <t>1.2.1. Создание дополнительных групп в дошкольных образовательных организациях</t>
  </si>
  <si>
    <t>2.1.3. Мероприятия по организации деятельности по сбору и транспортированию твёрдых коммунальных отходов</t>
  </si>
  <si>
    <t>04 2 2А S2850</t>
  </si>
  <si>
    <t>04 3 3Л S2850</t>
  </si>
  <si>
    <t>3.12.4. Мероприятия по организации деятельности по сбору и транспортированию твёрдых коммунальных отходов</t>
  </si>
  <si>
    <t>3.12.1. Выполнение планового объема оказываемых услуг, установленного муниципальным заданием</t>
  </si>
  <si>
    <t xml:space="preserve">4.1.3. Обеспечение деятельности лагерей с дневным пребыванием </t>
  </si>
  <si>
    <t>04 4 4А 00000</t>
  </si>
  <si>
    <t>1.1.4. Обеспечение повышения оплаты труда отдельных категорий работников в сфере образования</t>
  </si>
  <si>
    <t>04 1 1А S2700</t>
  </si>
  <si>
    <t>2.1.4. Обеспечение повышения оплаты труда отдельных категорий работников в сфере образования</t>
  </si>
  <si>
    <t>04 2 2А S2700</t>
  </si>
  <si>
    <t>3.12.3. Мероприятия по организации деятельности по сбору и транспортированию твёрдых коммунальных отходов</t>
  </si>
  <si>
    <t>3.11.1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</si>
  <si>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</si>
  <si>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Субсидии на реализацию народных проектов в сфере ОБРАЗОВАНИЯ, прошедших отбор в рамках проекта "Народный бюджет""</t>
  </si>
  <si>
    <t xml:space="preserve">4.1.1. Мероприятия по проведению оздоровительной кампании детей </t>
  </si>
  <si>
    <t>4.1.2. Мероприятия по проведению оздоровительной кампании детей</t>
  </si>
  <si>
    <t>Развитие инновационного опыта работы педагогов и образовательных учреждений</t>
  </si>
  <si>
    <t xml:space="preserve">Развитие кадровых ресурсов системы общего образования </t>
  </si>
  <si>
    <t xml:space="preserve">Проведение районных мероприятий </t>
  </si>
  <si>
    <t xml:space="preserve">Выявление и поддержка одаренных детей и молодежи </t>
  </si>
  <si>
    <t>Выполнение противопожарных мероприятий в организациях дополнительного образования</t>
  </si>
  <si>
    <t>Реализация народных проектов в сфере образования, прошедших отбор в рамках проекта "Народный бюджет"</t>
  </si>
  <si>
    <t>04 2 2С S2020</t>
  </si>
  <si>
    <t xml:space="preserve">3.12.2. Обеспечение роста уровня  оплаты труда педагогических работников муниципальных организаций дополнительного образования </t>
  </si>
  <si>
    <t>04 4 4Б 00000</t>
  </si>
  <si>
    <t>Основание мероприятие 1.16.</t>
  </si>
  <si>
    <t>04 1 1П S2020</t>
  </si>
  <si>
    <t>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</si>
  <si>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 1 1Д 74090</t>
  </si>
  <si>
    <t>Укрепление материально-технической базы и создание безопасных условий в дошкольных образовательных организациях</t>
  </si>
  <si>
    <t>04 1 1Л S2010</t>
  </si>
  <si>
    <t xml:space="preserve">Укрепление материально-технической базы и создание безопасных условий в организациях дополнительного образования </t>
  </si>
  <si>
    <t>04 3 3П S2010</t>
  </si>
  <si>
    <t xml:space="preserve">"Приложение №4                            </t>
  </si>
  <si>
    <t>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</si>
  <si>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</si>
  <si>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04 2 2А 53030</t>
  </si>
  <si>
    <t>Приложение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от 13 октября 2020 г. № 616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</si>
</sst>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7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5" fontId="3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165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49" fontId="2" fillId="0" borderId="7" xfId="0" applyNumberFormat="1" applyFont="1" applyBorder="1" applyAlignment="1">
      <alignment horizontal="center" vertical="center" textRotation="90" wrapText="1"/>
    </xf>
    <xf numFmtId="49" fontId="2" fillId="0" borderId="3" xfId="0" applyNumberFormat="1" applyFont="1" applyBorder="1" applyAlignment="1">
      <alignment horizontal="center" vertical="center" textRotation="90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27"/>
  <sheetViews>
    <sheetView tabSelected="1" zoomScale="75" zoomScaleNormal="75" workbookViewId="0">
      <selection activeCell="R7" sqref="R7"/>
    </sheetView>
  </sheetViews>
  <sheetFormatPr defaultColWidth="8.85546875" defaultRowHeight="15"/>
  <cols>
    <col min="1" max="1" width="21.140625" style="7" customWidth="1"/>
    <col min="2" max="2" width="32.7109375" style="7" customWidth="1"/>
    <col min="3" max="3" width="25.42578125" style="7" customWidth="1"/>
    <col min="4" max="7" width="8.85546875" style="7" customWidth="1"/>
    <col min="8" max="10" width="14.42578125" style="7" customWidth="1"/>
    <col min="11" max="11" width="14.42578125" style="2" customWidth="1"/>
    <col min="12" max="12" width="14.42578125" style="7" customWidth="1"/>
    <col min="13" max="14" width="14.42578125" style="18" customWidth="1"/>
    <col min="15" max="17" width="14.42578125" style="7" customWidth="1"/>
    <col min="18" max="16384" width="8.85546875" style="7"/>
  </cols>
  <sheetData>
    <row r="1" spans="1:17" ht="51.75" customHeight="1">
      <c r="K1" s="28"/>
      <c r="L1" s="28"/>
      <c r="M1" s="85" t="s">
        <v>285</v>
      </c>
      <c r="N1" s="85"/>
      <c r="O1" s="85"/>
      <c r="P1" s="85"/>
      <c r="Q1" s="85"/>
    </row>
    <row r="2" spans="1:17" ht="39" customHeight="1">
      <c r="J2" s="54"/>
      <c r="K2" s="54"/>
      <c r="L2" s="58"/>
      <c r="M2" s="86" t="s">
        <v>281</v>
      </c>
      <c r="N2" s="86"/>
      <c r="O2" s="86"/>
      <c r="P2" s="86"/>
      <c r="Q2" s="86"/>
    </row>
    <row r="3" spans="1:17" ht="15.75">
      <c r="A3" s="29"/>
      <c r="B3" s="29"/>
      <c r="C3" s="29"/>
      <c r="D3" s="29"/>
      <c r="E3" s="29"/>
      <c r="F3" s="29"/>
      <c r="G3" s="29"/>
      <c r="H3" s="29"/>
      <c r="J3" s="55"/>
      <c r="K3" s="30"/>
      <c r="L3" s="87" t="s">
        <v>239</v>
      </c>
      <c r="M3" s="87"/>
      <c r="N3" s="87"/>
      <c r="O3" s="87"/>
      <c r="P3" s="87"/>
      <c r="Q3" s="87"/>
    </row>
    <row r="4" spans="1:17">
      <c r="A4" s="29"/>
      <c r="B4" s="29"/>
      <c r="C4" s="29"/>
      <c r="D4" s="29"/>
      <c r="E4" s="29"/>
      <c r="F4" s="29"/>
      <c r="G4" s="29"/>
      <c r="H4" s="29"/>
      <c r="I4" s="29"/>
      <c r="J4" s="55"/>
      <c r="K4" s="55"/>
      <c r="L4" s="55"/>
      <c r="M4" s="55"/>
      <c r="N4" s="49"/>
      <c r="O4" s="55"/>
      <c r="P4" s="55"/>
      <c r="Q4" s="55"/>
    </row>
    <row r="5" spans="1:17" ht="15.6" customHeight="1">
      <c r="A5" s="88" t="s">
        <v>206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7" ht="15.7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13"/>
      <c r="N6" s="13"/>
    </row>
    <row r="7" spans="1:17" s="31" customFormat="1" ht="15" customHeight="1">
      <c r="A7" s="83" t="s">
        <v>0</v>
      </c>
      <c r="B7" s="83" t="s">
        <v>1</v>
      </c>
      <c r="C7" s="83" t="s">
        <v>2</v>
      </c>
      <c r="D7" s="79" t="s">
        <v>3</v>
      </c>
      <c r="E7" s="80"/>
      <c r="F7" s="80"/>
      <c r="G7" s="81"/>
      <c r="H7" s="79" t="s">
        <v>8</v>
      </c>
      <c r="I7" s="80"/>
      <c r="J7" s="80"/>
      <c r="K7" s="80"/>
      <c r="L7" s="80"/>
      <c r="M7" s="80"/>
      <c r="N7" s="80"/>
      <c r="O7" s="80"/>
      <c r="P7" s="80"/>
      <c r="Q7" s="81"/>
    </row>
    <row r="8" spans="1:17" s="31" customFormat="1" ht="37.5" customHeight="1">
      <c r="A8" s="84"/>
      <c r="B8" s="84"/>
      <c r="C8" s="84"/>
      <c r="D8" s="32" t="s">
        <v>4</v>
      </c>
      <c r="E8" s="32" t="s">
        <v>5</v>
      </c>
      <c r="F8" s="32" t="s">
        <v>6</v>
      </c>
      <c r="G8" s="32" t="s">
        <v>7</v>
      </c>
      <c r="H8" s="33" t="s">
        <v>9</v>
      </c>
      <c r="I8" s="6">
        <v>2014</v>
      </c>
      <c r="J8" s="6">
        <v>2015</v>
      </c>
      <c r="K8" s="1">
        <v>2016</v>
      </c>
      <c r="L8" s="6">
        <v>2017</v>
      </c>
      <c r="M8" s="14">
        <v>2018</v>
      </c>
      <c r="N8" s="14">
        <v>2019</v>
      </c>
      <c r="O8" s="6">
        <v>2020</v>
      </c>
      <c r="P8" s="14">
        <v>2021</v>
      </c>
      <c r="Q8" s="6">
        <v>2022</v>
      </c>
    </row>
    <row r="9" spans="1:17" s="38" customFormat="1" ht="57">
      <c r="A9" s="34" t="s">
        <v>10</v>
      </c>
      <c r="B9" s="34" t="s">
        <v>11</v>
      </c>
      <c r="C9" s="34" t="s">
        <v>12</v>
      </c>
      <c r="D9" s="35">
        <v>975</v>
      </c>
      <c r="E9" s="35"/>
      <c r="F9" s="36" t="s">
        <v>13</v>
      </c>
      <c r="G9" s="35"/>
      <c r="H9" s="37">
        <f>SUM(I9:Q9)</f>
        <v>3643927.3489999999</v>
      </c>
      <c r="I9" s="37">
        <f t="shared" ref="I9:N9" si="0">I10+I38+I76+I110+I116+I121</f>
        <v>386844.53999999992</v>
      </c>
      <c r="J9" s="37">
        <f t="shared" si="0"/>
        <v>390549.0529999999</v>
      </c>
      <c r="K9" s="8">
        <f t="shared" si="0"/>
        <v>367367.46399999992</v>
      </c>
      <c r="L9" s="37">
        <f t="shared" si="0"/>
        <v>391587.37400000001</v>
      </c>
      <c r="M9" s="15">
        <f t="shared" si="0"/>
        <v>421945.16700000002</v>
      </c>
      <c r="N9" s="15">
        <f t="shared" si="0"/>
        <v>416725.09400000004</v>
      </c>
      <c r="O9" s="15">
        <f>O10+O38+O76+O110+O116+O121-0.001</f>
        <v>444856.60899999994</v>
      </c>
      <c r="P9" s="15">
        <f>P10+P38+P76+P110+P116+P121</f>
        <v>423749.35499999998</v>
      </c>
      <c r="Q9" s="15">
        <f>Q10+Q38+Q76+Q110+Q116+Q121</f>
        <v>400302.69299999991</v>
      </c>
    </row>
    <row r="10" spans="1:17" s="39" customFormat="1" ht="90">
      <c r="A10" s="3" t="s">
        <v>14</v>
      </c>
      <c r="B10" s="3" t="s">
        <v>15</v>
      </c>
      <c r="C10" s="3" t="s">
        <v>16</v>
      </c>
      <c r="D10" s="4"/>
      <c r="E10" s="4"/>
      <c r="F10" s="5" t="s">
        <v>17</v>
      </c>
      <c r="G10" s="4"/>
      <c r="H10" s="9">
        <f>SUM(I10:Q10)</f>
        <v>1259803.8099999998</v>
      </c>
      <c r="I10" s="9">
        <f>I12+I13+I17+I18+I19+I21+I22+I24+I25+I27+I28+I29+I30+I34+I35+I36+I14+I15+I16+I37+I23+I32+I33</f>
        <v>140952.07</v>
      </c>
      <c r="J10" s="9">
        <f t="shared" ref="J10:N10" si="1">J12+J13+J17+J18+J19+J21+J22+J24+J25+J27+J28+J29+J30+J34+J35+J36+J14+J15+J16+J37+J23+J32</f>
        <v>119768.17000000001</v>
      </c>
      <c r="K10" s="9">
        <f t="shared" si="1"/>
        <v>126152.49799999998</v>
      </c>
      <c r="L10" s="9">
        <f t="shared" si="1"/>
        <v>134580.51300000001</v>
      </c>
      <c r="M10" s="9">
        <f t="shared" si="1"/>
        <v>151477.12099999998</v>
      </c>
      <c r="N10" s="9">
        <f t="shared" si="1"/>
        <v>147012.424</v>
      </c>
      <c r="O10" s="9">
        <f>O12+O13+O14+O15+O16+O17+O18+O19+O21+O22+O23+O24+O25+O27+O28+O29+O32+O33+O34+O35+O36+O37+O31</f>
        <v>155378.83799999999</v>
      </c>
      <c r="P10" s="9">
        <f t="shared" ref="P10:Q10" si="2">P12+P13+P14+P15+P16+P17+P18+P19+P21+P22+P23+P24+P25+P27+P28+P29+P30+P32+P33+P34+P35+P36+P37</f>
        <v>152150.38800000001</v>
      </c>
      <c r="Q10" s="9">
        <f t="shared" si="2"/>
        <v>132331.788</v>
      </c>
    </row>
    <row r="11" spans="1:17" ht="30.75" customHeight="1">
      <c r="A11" s="21" t="s">
        <v>18</v>
      </c>
      <c r="B11" s="60" t="s">
        <v>19</v>
      </c>
      <c r="C11" s="61"/>
      <c r="D11" s="57"/>
      <c r="E11" s="57"/>
      <c r="F11" s="40"/>
      <c r="G11" s="57"/>
      <c r="H11" s="11"/>
      <c r="I11" s="11"/>
      <c r="J11" s="11"/>
      <c r="K11" s="10"/>
      <c r="L11" s="11"/>
      <c r="M11" s="17"/>
      <c r="N11" s="17"/>
      <c r="O11" s="11"/>
      <c r="P11" s="11"/>
      <c r="Q11" s="11"/>
    </row>
    <row r="12" spans="1:17" ht="84.75" customHeight="1">
      <c r="A12" s="64" t="s">
        <v>20</v>
      </c>
      <c r="B12" s="21" t="s">
        <v>21</v>
      </c>
      <c r="C12" s="41" t="s">
        <v>12</v>
      </c>
      <c r="D12" s="57">
        <v>975</v>
      </c>
      <c r="E12" s="22" t="s">
        <v>22</v>
      </c>
      <c r="F12" s="23" t="s">
        <v>23</v>
      </c>
      <c r="G12" s="22" t="s">
        <v>24</v>
      </c>
      <c r="H12" s="11">
        <f>SUM(I12:Q12)</f>
        <v>405313.15899999999</v>
      </c>
      <c r="I12" s="11">
        <v>40844.574000000001</v>
      </c>
      <c r="J12" s="11">
        <v>34832.400000000001</v>
      </c>
      <c r="K12" s="10">
        <f>40788.435</f>
        <v>40788.434999999998</v>
      </c>
      <c r="L12" s="11">
        <f>37667.7+352.4-124.891+6802.97+500.001+1822.15+0.005</f>
        <v>47020.334999999992</v>
      </c>
      <c r="M12" s="17">
        <f>47551.685</f>
        <v>47551.684999999998</v>
      </c>
      <c r="N12" s="17">
        <f>58862.508-573.715-40.769+6.575+17.63-5290</f>
        <v>52982.228999999999</v>
      </c>
      <c r="O12" s="11">
        <f>54559.465</f>
        <v>54559.464999999997</v>
      </c>
      <c r="P12" s="11">
        <f>53367.018</f>
        <v>53367.017999999996</v>
      </c>
      <c r="Q12" s="11">
        <f>33367.018</f>
        <v>33367.017999999996</v>
      </c>
    </row>
    <row r="13" spans="1:17" ht="85.5" customHeight="1">
      <c r="A13" s="65"/>
      <c r="B13" s="21" t="s">
        <v>25</v>
      </c>
      <c r="C13" s="41" t="s">
        <v>12</v>
      </c>
      <c r="D13" s="57">
        <v>975</v>
      </c>
      <c r="E13" s="22" t="s">
        <v>22</v>
      </c>
      <c r="F13" s="23" t="s">
        <v>32</v>
      </c>
      <c r="G13" s="22" t="s">
        <v>24</v>
      </c>
      <c r="H13" s="11">
        <f t="shared" ref="H13:H18" si="3">SUM(I13:Q13)</f>
        <v>778911.33</v>
      </c>
      <c r="I13" s="11">
        <v>92730.4</v>
      </c>
      <c r="J13" s="11">
        <v>72773.273000000001</v>
      </c>
      <c r="K13" s="10">
        <f>72275.828</f>
        <v>72275.827999999994</v>
      </c>
      <c r="L13" s="11">
        <f>74522-8.25-1500</f>
        <v>73013.75</v>
      </c>
      <c r="M13" s="17">
        <f>87277.6+8328.9</f>
        <v>95606.5</v>
      </c>
      <c r="N13" s="17">
        <f>79777.74+2784+4381.429</f>
        <v>86943.169000000009</v>
      </c>
      <c r="O13" s="11">
        <v>95189.47</v>
      </c>
      <c r="P13" s="11">
        <v>95189.47</v>
      </c>
      <c r="Q13" s="11">
        <v>95189.47</v>
      </c>
    </row>
    <row r="14" spans="1:17" ht="64.5" customHeight="1">
      <c r="A14" s="65"/>
      <c r="B14" s="21" t="s">
        <v>245</v>
      </c>
      <c r="C14" s="21" t="s">
        <v>12</v>
      </c>
      <c r="D14" s="57">
        <v>975</v>
      </c>
      <c r="E14" s="22" t="s">
        <v>22</v>
      </c>
      <c r="F14" s="23" t="s">
        <v>244</v>
      </c>
      <c r="G14" s="22" t="s">
        <v>24</v>
      </c>
      <c r="H14" s="11">
        <f t="shared" si="3"/>
        <v>67.316000000000003</v>
      </c>
      <c r="I14" s="11">
        <v>0</v>
      </c>
      <c r="J14" s="11">
        <v>0</v>
      </c>
      <c r="K14" s="10">
        <v>0</v>
      </c>
      <c r="L14" s="11">
        <v>0</v>
      </c>
      <c r="M14" s="17">
        <v>0</v>
      </c>
      <c r="N14" s="17">
        <v>67.316000000000003</v>
      </c>
      <c r="O14" s="11">
        <v>0</v>
      </c>
      <c r="P14" s="11">
        <v>0</v>
      </c>
      <c r="Q14" s="11">
        <v>0</v>
      </c>
    </row>
    <row r="15" spans="1:17" ht="64.5" customHeight="1">
      <c r="A15" s="65"/>
      <c r="B15" s="21" t="s">
        <v>245</v>
      </c>
      <c r="C15" s="21" t="s">
        <v>12</v>
      </c>
      <c r="D15" s="57">
        <v>975</v>
      </c>
      <c r="E15" s="22" t="s">
        <v>22</v>
      </c>
      <c r="F15" s="23" t="s">
        <v>244</v>
      </c>
      <c r="G15" s="22" t="s">
        <v>24</v>
      </c>
      <c r="H15" s="11">
        <f t="shared" si="3"/>
        <v>67.316000000000003</v>
      </c>
      <c r="I15" s="11">
        <v>0</v>
      </c>
      <c r="J15" s="11">
        <v>0</v>
      </c>
      <c r="K15" s="10">
        <v>0</v>
      </c>
      <c r="L15" s="11">
        <v>0</v>
      </c>
      <c r="M15" s="17">
        <v>0</v>
      </c>
      <c r="N15" s="17">
        <v>67.316000000000003</v>
      </c>
      <c r="O15" s="11">
        <v>0</v>
      </c>
      <c r="P15" s="11">
        <v>0</v>
      </c>
      <c r="Q15" s="11">
        <v>0</v>
      </c>
    </row>
    <row r="16" spans="1:17" ht="64.5" customHeight="1">
      <c r="A16" s="65"/>
      <c r="B16" s="24" t="s">
        <v>254</v>
      </c>
      <c r="C16" s="24" t="s">
        <v>12</v>
      </c>
      <c r="D16" s="25">
        <v>975</v>
      </c>
      <c r="E16" s="26" t="s">
        <v>22</v>
      </c>
      <c r="F16" s="27" t="s">
        <v>255</v>
      </c>
      <c r="G16" s="26" t="s">
        <v>24</v>
      </c>
      <c r="H16" s="11">
        <f t="shared" si="3"/>
        <v>3419.3939999999993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f>40.769+4036.2-657.575</f>
        <v>3419.3939999999993</v>
      </c>
      <c r="O16" s="17">
        <v>0</v>
      </c>
      <c r="P16" s="17">
        <v>0</v>
      </c>
      <c r="Q16" s="17">
        <v>0</v>
      </c>
    </row>
    <row r="17" spans="1:17" ht="45">
      <c r="A17" s="82" t="s">
        <v>28</v>
      </c>
      <c r="B17" s="21" t="s">
        <v>246</v>
      </c>
      <c r="C17" s="21" t="s">
        <v>12</v>
      </c>
      <c r="D17" s="57"/>
      <c r="E17" s="22"/>
      <c r="F17" s="23"/>
      <c r="G17" s="22"/>
      <c r="H17" s="11">
        <f t="shared" si="3"/>
        <v>0</v>
      </c>
      <c r="I17" s="11">
        <v>0</v>
      </c>
      <c r="J17" s="11">
        <v>0</v>
      </c>
      <c r="K17" s="10">
        <v>0</v>
      </c>
      <c r="L17" s="11">
        <v>0</v>
      </c>
      <c r="M17" s="17">
        <v>0</v>
      </c>
      <c r="N17" s="17">
        <v>0</v>
      </c>
      <c r="O17" s="11">
        <v>0</v>
      </c>
      <c r="P17" s="11">
        <v>0</v>
      </c>
      <c r="Q17" s="11">
        <v>0</v>
      </c>
    </row>
    <row r="18" spans="1:17" ht="105">
      <c r="A18" s="82"/>
      <c r="B18" s="21" t="s">
        <v>26</v>
      </c>
      <c r="C18" s="21" t="s">
        <v>12</v>
      </c>
      <c r="D18" s="57">
        <v>975</v>
      </c>
      <c r="E18" s="22" t="s">
        <v>22</v>
      </c>
      <c r="F18" s="23" t="s">
        <v>27</v>
      </c>
      <c r="G18" s="22" t="s">
        <v>24</v>
      </c>
      <c r="H18" s="11">
        <f t="shared" si="3"/>
        <v>103.2</v>
      </c>
      <c r="I18" s="11">
        <v>103.2</v>
      </c>
      <c r="J18" s="11">
        <v>0</v>
      </c>
      <c r="K18" s="10">
        <v>0</v>
      </c>
      <c r="L18" s="11">
        <v>0</v>
      </c>
      <c r="M18" s="17">
        <v>0</v>
      </c>
      <c r="N18" s="17">
        <v>0</v>
      </c>
      <c r="O18" s="11">
        <v>0</v>
      </c>
      <c r="P18" s="11">
        <v>0</v>
      </c>
      <c r="Q18" s="11">
        <v>0</v>
      </c>
    </row>
    <row r="19" spans="1:17" ht="150">
      <c r="A19" s="21" t="s">
        <v>29</v>
      </c>
      <c r="B19" s="21" t="s">
        <v>30</v>
      </c>
      <c r="C19" s="21" t="s">
        <v>12</v>
      </c>
      <c r="D19" s="57">
        <v>975</v>
      </c>
      <c r="E19" s="22" t="s">
        <v>140</v>
      </c>
      <c r="F19" s="23" t="s">
        <v>31</v>
      </c>
      <c r="G19" s="22" t="s">
        <v>24</v>
      </c>
      <c r="H19" s="11">
        <f>SUM(I19:Q19)</f>
        <v>33162.623999999996</v>
      </c>
      <c r="I19" s="11">
        <v>2540.1239999999998</v>
      </c>
      <c r="J19" s="11">
        <v>5781.6</v>
      </c>
      <c r="K19" s="10">
        <f>4317.4</f>
        <v>4317.3999999999996</v>
      </c>
      <c r="L19" s="11">
        <v>4544</v>
      </c>
      <c r="M19" s="17">
        <f>4168.5-1601.5</f>
        <v>2567</v>
      </c>
      <c r="N19" s="17">
        <v>2883.2</v>
      </c>
      <c r="O19" s="11">
        <v>3347.7</v>
      </c>
      <c r="P19" s="11">
        <v>3500.1</v>
      </c>
      <c r="Q19" s="11">
        <v>3681.5</v>
      </c>
    </row>
    <row r="20" spans="1:17" ht="30.75" customHeight="1">
      <c r="A20" s="21" t="s">
        <v>18</v>
      </c>
      <c r="B20" s="60" t="s">
        <v>33</v>
      </c>
      <c r="C20" s="61"/>
      <c r="D20" s="57"/>
      <c r="E20" s="22"/>
      <c r="F20" s="23"/>
      <c r="G20" s="22"/>
      <c r="H20" s="11"/>
      <c r="I20" s="11"/>
      <c r="J20" s="11"/>
      <c r="K20" s="10"/>
      <c r="L20" s="11"/>
      <c r="M20" s="17"/>
      <c r="N20" s="17"/>
      <c r="O20" s="11"/>
      <c r="P20" s="11"/>
      <c r="Q20" s="11"/>
    </row>
    <row r="21" spans="1:17" ht="45">
      <c r="A21" s="21" t="s">
        <v>34</v>
      </c>
      <c r="B21" s="21" t="s">
        <v>35</v>
      </c>
      <c r="C21" s="21" t="s">
        <v>12</v>
      </c>
      <c r="D21" s="57">
        <v>975</v>
      </c>
      <c r="E21" s="22" t="s">
        <v>22</v>
      </c>
      <c r="F21" s="23" t="s">
        <v>36</v>
      </c>
      <c r="G21" s="22" t="s">
        <v>24</v>
      </c>
      <c r="H21" s="11">
        <f t="shared" ref="H21:H25" si="4">SUM(I21:Q21)</f>
        <v>17466.357</v>
      </c>
      <c r="I21" s="11">
        <v>0</v>
      </c>
      <c r="J21" s="11">
        <v>2996.82</v>
      </c>
      <c r="K21" s="10">
        <f>5219.999</f>
        <v>5219.9989999999998</v>
      </c>
      <c r="L21" s="11">
        <f>2500-794.923+4884.641-249.26-339.872</f>
        <v>6000.5859999999993</v>
      </c>
      <c r="M21" s="17">
        <f>3249.496-0.544</f>
        <v>3248.9520000000002</v>
      </c>
      <c r="N21" s="17">
        <v>0</v>
      </c>
      <c r="O21" s="11">
        <v>0</v>
      </c>
      <c r="P21" s="11">
        <v>0</v>
      </c>
      <c r="Q21" s="11">
        <v>0</v>
      </c>
    </row>
    <row r="22" spans="1:17" ht="45">
      <c r="A22" s="64" t="s">
        <v>37</v>
      </c>
      <c r="B22" s="21" t="s">
        <v>38</v>
      </c>
      <c r="C22" s="21" t="s">
        <v>12</v>
      </c>
      <c r="D22" s="57">
        <v>975</v>
      </c>
      <c r="E22" s="22" t="s">
        <v>22</v>
      </c>
      <c r="F22" s="23" t="s">
        <v>39</v>
      </c>
      <c r="G22" s="22" t="s">
        <v>24</v>
      </c>
      <c r="H22" s="11">
        <f t="shared" si="4"/>
        <v>4130.634</v>
      </c>
      <c r="I22" s="11">
        <v>725</v>
      </c>
      <c r="J22" s="11">
        <v>730</v>
      </c>
      <c r="K22" s="10">
        <f>818</f>
        <v>818</v>
      </c>
      <c r="L22" s="11">
        <v>704.44899999999996</v>
      </c>
      <c r="M22" s="17">
        <v>700</v>
      </c>
      <c r="N22" s="17">
        <f>125+290</f>
        <v>415</v>
      </c>
      <c r="O22" s="11">
        <f>38.185</f>
        <v>38.185000000000002</v>
      </c>
      <c r="P22" s="11">
        <v>0</v>
      </c>
      <c r="Q22" s="11">
        <v>0</v>
      </c>
    </row>
    <row r="23" spans="1:17" ht="150">
      <c r="A23" s="66"/>
      <c r="B23" s="21" t="s">
        <v>275</v>
      </c>
      <c r="C23" s="21" t="s">
        <v>12</v>
      </c>
      <c r="D23" s="57">
        <v>975</v>
      </c>
      <c r="E23" s="22" t="s">
        <v>22</v>
      </c>
      <c r="F23" s="23" t="s">
        <v>276</v>
      </c>
      <c r="G23" s="22" t="s">
        <v>24</v>
      </c>
      <c r="H23" s="11">
        <f t="shared" ref="H23" si="5">SUM(I23:Q23)</f>
        <v>600</v>
      </c>
      <c r="I23" s="11">
        <v>0</v>
      </c>
      <c r="J23" s="11">
        <v>0</v>
      </c>
      <c r="K23" s="10">
        <v>0</v>
      </c>
      <c r="L23" s="11">
        <v>0</v>
      </c>
      <c r="M23" s="17">
        <v>0</v>
      </c>
      <c r="N23" s="17">
        <v>0</v>
      </c>
      <c r="O23" s="11">
        <v>600</v>
      </c>
      <c r="P23" s="11">
        <v>0</v>
      </c>
      <c r="Q23" s="11">
        <v>0</v>
      </c>
    </row>
    <row r="24" spans="1:17" ht="60">
      <c r="A24" s="64" t="s">
        <v>42</v>
      </c>
      <c r="B24" s="21" t="s">
        <v>40</v>
      </c>
      <c r="C24" s="21" t="s">
        <v>12</v>
      </c>
      <c r="D24" s="57">
        <v>975</v>
      </c>
      <c r="E24" s="22" t="s">
        <v>22</v>
      </c>
      <c r="F24" s="23" t="s">
        <v>43</v>
      </c>
      <c r="G24" s="22" t="s">
        <v>24</v>
      </c>
      <c r="H24" s="11">
        <f t="shared" si="4"/>
        <v>5167.9110000000001</v>
      </c>
      <c r="I24" s="11">
        <v>865.43499999999995</v>
      </c>
      <c r="J24" s="11">
        <v>2124.6419999999998</v>
      </c>
      <c r="K24" s="10">
        <f>700.424</f>
        <v>700.42399999999998</v>
      </c>
      <c r="L24" s="11">
        <f>600-178.4-83.538-48.152+4</f>
        <v>293.91000000000003</v>
      </c>
      <c r="M24" s="17">
        <f>1046.5-4</f>
        <v>1042.5</v>
      </c>
      <c r="N24" s="17">
        <f>29+42+70</f>
        <v>141</v>
      </c>
      <c r="O24" s="11">
        <v>0</v>
      </c>
      <c r="P24" s="11">
        <v>0</v>
      </c>
      <c r="Q24" s="11">
        <v>0</v>
      </c>
    </row>
    <row r="25" spans="1:17" ht="60">
      <c r="A25" s="66"/>
      <c r="B25" s="21" t="s">
        <v>41</v>
      </c>
      <c r="C25" s="21" t="s">
        <v>12</v>
      </c>
      <c r="D25" s="57">
        <v>975</v>
      </c>
      <c r="E25" s="22" t="s">
        <v>22</v>
      </c>
      <c r="F25" s="23" t="s">
        <v>44</v>
      </c>
      <c r="G25" s="22" t="s">
        <v>24</v>
      </c>
      <c r="H25" s="11">
        <f t="shared" si="4"/>
        <v>236.86099999999999</v>
      </c>
      <c r="I25" s="11">
        <v>236.86099999999999</v>
      </c>
      <c r="J25" s="11">
        <v>0</v>
      </c>
      <c r="K25" s="10">
        <v>0</v>
      </c>
      <c r="L25" s="11">
        <v>0</v>
      </c>
      <c r="M25" s="17">
        <v>0</v>
      </c>
      <c r="N25" s="17">
        <v>0</v>
      </c>
      <c r="O25" s="11">
        <v>0</v>
      </c>
      <c r="P25" s="11">
        <v>0</v>
      </c>
      <c r="Q25" s="11">
        <v>0</v>
      </c>
    </row>
    <row r="26" spans="1:17" ht="30.75" customHeight="1">
      <c r="A26" s="21" t="s">
        <v>18</v>
      </c>
      <c r="B26" s="60" t="s">
        <v>45</v>
      </c>
      <c r="C26" s="61"/>
      <c r="D26" s="57"/>
      <c r="E26" s="22"/>
      <c r="F26" s="23"/>
      <c r="G26" s="22"/>
      <c r="H26" s="11"/>
      <c r="I26" s="11"/>
      <c r="J26" s="11"/>
      <c r="K26" s="10"/>
      <c r="L26" s="11"/>
      <c r="M26" s="17"/>
      <c r="N26" s="17"/>
      <c r="O26" s="11"/>
      <c r="P26" s="11"/>
      <c r="Q26" s="11"/>
    </row>
    <row r="27" spans="1:17" ht="74.25" customHeight="1">
      <c r="A27" s="21" t="s">
        <v>46</v>
      </c>
      <c r="B27" s="21" t="s">
        <v>47</v>
      </c>
      <c r="C27" s="21" t="s">
        <v>12</v>
      </c>
      <c r="D27" s="57">
        <v>975</v>
      </c>
      <c r="E27" s="22" t="s">
        <v>22</v>
      </c>
      <c r="F27" s="23" t="s">
        <v>48</v>
      </c>
      <c r="G27" s="22" t="s">
        <v>52</v>
      </c>
      <c r="H27" s="11">
        <f t="shared" ref="H27:H37" si="6">SUM(I27:Q27)</f>
        <v>55</v>
      </c>
      <c r="I27" s="11">
        <v>15</v>
      </c>
      <c r="J27" s="11">
        <v>15</v>
      </c>
      <c r="K27" s="10">
        <v>15</v>
      </c>
      <c r="L27" s="11">
        <v>5</v>
      </c>
      <c r="M27" s="17">
        <v>5</v>
      </c>
      <c r="N27" s="17">
        <v>0</v>
      </c>
      <c r="O27" s="11">
        <v>0</v>
      </c>
      <c r="P27" s="11">
        <v>0</v>
      </c>
      <c r="Q27" s="11">
        <v>0</v>
      </c>
    </row>
    <row r="28" spans="1:17" ht="151.5" customHeight="1">
      <c r="A28" s="21" t="s">
        <v>49</v>
      </c>
      <c r="B28" s="21" t="s">
        <v>50</v>
      </c>
      <c r="C28" s="21" t="s">
        <v>12</v>
      </c>
      <c r="D28" s="57">
        <v>975</v>
      </c>
      <c r="E28" s="22" t="s">
        <v>22</v>
      </c>
      <c r="F28" s="23" t="s">
        <v>51</v>
      </c>
      <c r="G28" s="22" t="s">
        <v>194</v>
      </c>
      <c r="H28" s="11">
        <f t="shared" si="6"/>
        <v>986</v>
      </c>
      <c r="I28" s="11">
        <v>386</v>
      </c>
      <c r="J28" s="11">
        <v>310</v>
      </c>
      <c r="K28" s="10">
        <f>386-80-16</f>
        <v>290</v>
      </c>
      <c r="L28" s="11">
        <v>0</v>
      </c>
      <c r="M28" s="17">
        <v>0</v>
      </c>
      <c r="N28" s="17">
        <v>0</v>
      </c>
      <c r="O28" s="11">
        <v>0</v>
      </c>
      <c r="P28" s="11">
        <v>0</v>
      </c>
      <c r="Q28" s="11">
        <v>0</v>
      </c>
    </row>
    <row r="29" spans="1:17" ht="45">
      <c r="A29" s="21" t="s">
        <v>55</v>
      </c>
      <c r="B29" s="21" t="s">
        <v>35</v>
      </c>
      <c r="C29" s="21" t="s">
        <v>12</v>
      </c>
      <c r="D29" s="57">
        <v>975</v>
      </c>
      <c r="E29" s="22" t="s">
        <v>22</v>
      </c>
      <c r="F29" s="23" t="s">
        <v>54</v>
      </c>
      <c r="G29" s="22" t="s">
        <v>24</v>
      </c>
      <c r="H29" s="11">
        <f t="shared" si="6"/>
        <v>1994.664</v>
      </c>
      <c r="I29" s="11">
        <v>1994.664</v>
      </c>
      <c r="J29" s="11">
        <v>0</v>
      </c>
      <c r="K29" s="10">
        <v>0</v>
      </c>
      <c r="L29" s="11">
        <v>0</v>
      </c>
      <c r="M29" s="17">
        <v>0</v>
      </c>
      <c r="N29" s="17">
        <v>0</v>
      </c>
      <c r="O29" s="11">
        <v>0</v>
      </c>
      <c r="P29" s="11">
        <v>0</v>
      </c>
      <c r="Q29" s="11">
        <v>0</v>
      </c>
    </row>
    <row r="30" spans="1:17" ht="45">
      <c r="A30" s="64" t="s">
        <v>56</v>
      </c>
      <c r="B30" s="21" t="s">
        <v>57</v>
      </c>
      <c r="C30" s="21" t="s">
        <v>12</v>
      </c>
      <c r="D30" s="57">
        <v>975</v>
      </c>
      <c r="E30" s="22" t="s">
        <v>22</v>
      </c>
      <c r="F30" s="23" t="s">
        <v>189</v>
      </c>
      <c r="G30" s="22" t="s">
        <v>24</v>
      </c>
      <c r="H30" s="11">
        <f t="shared" si="6"/>
        <v>4523.6239999999998</v>
      </c>
      <c r="I30" s="11">
        <v>510.81200000000001</v>
      </c>
      <c r="J30" s="11">
        <v>117.4</v>
      </c>
      <c r="K30" s="10">
        <f>1293.548</f>
        <v>1293.548</v>
      </c>
      <c r="L30" s="11">
        <f>86.7+91.3+48.864+183.7-20+7.708</f>
        <v>398.27199999999999</v>
      </c>
      <c r="M30" s="17">
        <v>654.37400000000002</v>
      </c>
      <c r="N30" s="17">
        <v>0</v>
      </c>
      <c r="O30" s="10">
        <f>1099.218+450</f>
        <v>1549.2180000000001</v>
      </c>
      <c r="P30" s="11">
        <v>0</v>
      </c>
      <c r="Q30" s="11">
        <v>0</v>
      </c>
    </row>
    <row r="31" spans="1:17" ht="45">
      <c r="A31" s="65"/>
      <c r="B31" s="21" t="s">
        <v>57</v>
      </c>
      <c r="C31" s="21" t="s">
        <v>12</v>
      </c>
      <c r="D31" s="59">
        <v>975</v>
      </c>
      <c r="E31" s="22" t="s">
        <v>22</v>
      </c>
      <c r="F31" s="23" t="s">
        <v>189</v>
      </c>
      <c r="G31" s="22" t="s">
        <v>24</v>
      </c>
      <c r="H31" s="11">
        <f t="shared" ref="H31" si="7">SUM(I31:Q31)</f>
        <v>3424.4059999999999</v>
      </c>
      <c r="I31" s="11">
        <v>510.81200000000001</v>
      </c>
      <c r="J31" s="11">
        <v>117.4</v>
      </c>
      <c r="K31" s="10">
        <f>1293.548</f>
        <v>1293.548</v>
      </c>
      <c r="L31" s="11">
        <f>86.7+91.3+48.864+183.7-20+7.708</f>
        <v>398.27199999999999</v>
      </c>
      <c r="M31" s="17">
        <v>654.37400000000002</v>
      </c>
      <c r="N31" s="17">
        <v>0</v>
      </c>
      <c r="O31" s="10">
        <v>450</v>
      </c>
      <c r="P31" s="11">
        <v>0</v>
      </c>
      <c r="Q31" s="11">
        <v>0</v>
      </c>
    </row>
    <row r="32" spans="1:17" ht="75">
      <c r="A32" s="65"/>
      <c r="B32" s="21" t="s">
        <v>277</v>
      </c>
      <c r="C32" s="21" t="s">
        <v>12</v>
      </c>
      <c r="D32" s="57">
        <v>975</v>
      </c>
      <c r="E32" s="22" t="s">
        <v>22</v>
      </c>
      <c r="F32" s="23" t="s">
        <v>278</v>
      </c>
      <c r="G32" s="22" t="s">
        <v>24</v>
      </c>
      <c r="H32" s="11">
        <f t="shared" ref="H32" si="8">SUM(I32:Q32)</f>
        <v>989.29600000000005</v>
      </c>
      <c r="I32" s="11">
        <v>0</v>
      </c>
      <c r="J32" s="11">
        <v>0</v>
      </c>
      <c r="K32" s="10">
        <v>0</v>
      </c>
      <c r="L32" s="11">
        <v>0</v>
      </c>
      <c r="M32" s="17">
        <v>0</v>
      </c>
      <c r="N32" s="17">
        <v>0</v>
      </c>
      <c r="O32" s="11">
        <v>989.29600000000005</v>
      </c>
      <c r="P32" s="11">
        <v>0</v>
      </c>
      <c r="Q32" s="11">
        <v>0</v>
      </c>
    </row>
    <row r="33" spans="1:17" ht="75">
      <c r="A33" s="66"/>
      <c r="B33" s="21" t="s">
        <v>277</v>
      </c>
      <c r="C33" s="21" t="s">
        <v>12</v>
      </c>
      <c r="D33" s="57">
        <v>975</v>
      </c>
      <c r="E33" s="22" t="s">
        <v>22</v>
      </c>
      <c r="F33" s="23" t="s">
        <v>278</v>
      </c>
      <c r="G33" s="22" t="s">
        <v>24</v>
      </c>
      <c r="H33" s="11">
        <f t="shared" ref="H33" si="9">SUM(I33:Q33)</f>
        <v>109.922</v>
      </c>
      <c r="I33" s="11">
        <v>0</v>
      </c>
      <c r="J33" s="11">
        <v>0</v>
      </c>
      <c r="K33" s="10">
        <v>0</v>
      </c>
      <c r="L33" s="11">
        <v>0</v>
      </c>
      <c r="M33" s="17">
        <v>0</v>
      </c>
      <c r="N33" s="17">
        <v>0</v>
      </c>
      <c r="O33" s="11">
        <v>109.922</v>
      </c>
      <c r="P33" s="11">
        <v>0</v>
      </c>
      <c r="Q33" s="11">
        <v>0</v>
      </c>
    </row>
    <row r="34" spans="1:17" ht="45">
      <c r="A34" s="21" t="s">
        <v>58</v>
      </c>
      <c r="B34" s="21" t="s">
        <v>59</v>
      </c>
      <c r="C34" s="21" t="s">
        <v>12</v>
      </c>
      <c r="D34" s="57">
        <v>975</v>
      </c>
      <c r="E34" s="22" t="s">
        <v>22</v>
      </c>
      <c r="F34" s="23" t="s">
        <v>60</v>
      </c>
      <c r="G34" s="22" t="s">
        <v>24</v>
      </c>
      <c r="H34" s="11">
        <f t="shared" si="6"/>
        <v>768.42</v>
      </c>
      <c r="I34" s="11">
        <v>0</v>
      </c>
      <c r="J34" s="11">
        <v>87.034999999999997</v>
      </c>
      <c r="K34" s="10">
        <f>103.864</f>
        <v>103.864</v>
      </c>
      <c r="L34" s="11">
        <v>100.211</v>
      </c>
      <c r="M34" s="17">
        <f>106.6-5.49</f>
        <v>101.11</v>
      </c>
      <c r="N34" s="17">
        <f>103.2-10.48+1.08</f>
        <v>93.8</v>
      </c>
      <c r="O34" s="11">
        <f>93.8+1</f>
        <v>94.8</v>
      </c>
      <c r="P34" s="11">
        <v>93.8</v>
      </c>
      <c r="Q34" s="11">
        <v>93.8</v>
      </c>
    </row>
    <row r="35" spans="1:17" ht="60">
      <c r="A35" s="21" t="s">
        <v>190</v>
      </c>
      <c r="B35" s="21" t="s">
        <v>197</v>
      </c>
      <c r="C35" s="21" t="s">
        <v>12</v>
      </c>
      <c r="D35" s="57">
        <v>975</v>
      </c>
      <c r="E35" s="22" t="s">
        <v>22</v>
      </c>
      <c r="F35" s="23" t="s">
        <v>191</v>
      </c>
      <c r="G35" s="22" t="s">
        <v>24</v>
      </c>
      <c r="H35" s="11">
        <f t="shared" si="6"/>
        <v>330</v>
      </c>
      <c r="I35" s="11">
        <v>0</v>
      </c>
      <c r="J35" s="11">
        <v>0</v>
      </c>
      <c r="K35" s="10">
        <f>200+30+100</f>
        <v>330</v>
      </c>
      <c r="L35" s="11">
        <v>0</v>
      </c>
      <c r="M35" s="17">
        <v>0</v>
      </c>
      <c r="N35" s="17">
        <v>0</v>
      </c>
      <c r="O35" s="11">
        <v>0</v>
      </c>
      <c r="P35" s="11">
        <v>0</v>
      </c>
      <c r="Q35" s="11">
        <v>0</v>
      </c>
    </row>
    <row r="36" spans="1:17" ht="45">
      <c r="A36" s="21" t="s">
        <v>217</v>
      </c>
      <c r="B36" s="21" t="s">
        <v>218</v>
      </c>
      <c r="C36" s="21" t="s">
        <v>12</v>
      </c>
      <c r="D36" s="57">
        <v>975</v>
      </c>
      <c r="E36" s="22" t="s">
        <v>22</v>
      </c>
      <c r="F36" s="23" t="s">
        <v>219</v>
      </c>
      <c r="G36" s="22" t="s">
        <v>24</v>
      </c>
      <c r="H36" s="11">
        <f t="shared" si="6"/>
        <v>2500</v>
      </c>
      <c r="I36" s="11">
        <v>0</v>
      </c>
      <c r="J36" s="11">
        <v>0</v>
      </c>
      <c r="K36" s="10">
        <v>0</v>
      </c>
      <c r="L36" s="11">
        <f>1000+1500</f>
        <v>2500</v>
      </c>
      <c r="M36" s="17">
        <v>0</v>
      </c>
      <c r="N36" s="17">
        <v>0</v>
      </c>
      <c r="O36" s="11">
        <v>0</v>
      </c>
      <c r="P36" s="11">
        <v>0</v>
      </c>
      <c r="Q36" s="11">
        <v>0</v>
      </c>
    </row>
    <row r="37" spans="1:17" ht="60">
      <c r="A37" s="21" t="s">
        <v>273</v>
      </c>
      <c r="B37" s="21" t="s">
        <v>269</v>
      </c>
      <c r="C37" s="21" t="s">
        <v>12</v>
      </c>
      <c r="D37" s="57">
        <v>975</v>
      </c>
      <c r="E37" s="22" t="s">
        <v>22</v>
      </c>
      <c r="F37" s="23" t="s">
        <v>274</v>
      </c>
      <c r="G37" s="22" t="s">
        <v>24</v>
      </c>
      <c r="H37" s="11">
        <f t="shared" si="6"/>
        <v>0</v>
      </c>
      <c r="I37" s="11">
        <v>0</v>
      </c>
      <c r="J37" s="11">
        <v>0</v>
      </c>
      <c r="K37" s="10">
        <v>0</v>
      </c>
      <c r="L37" s="11">
        <v>0</v>
      </c>
      <c r="M37" s="17">
        <v>0</v>
      </c>
      <c r="N37" s="17">
        <v>0</v>
      </c>
      <c r="O37" s="11">
        <v>0</v>
      </c>
      <c r="P37" s="11">
        <v>0</v>
      </c>
      <c r="Q37" s="11">
        <v>0</v>
      </c>
    </row>
    <row r="38" spans="1:17" ht="75">
      <c r="A38" s="3" t="s">
        <v>61</v>
      </c>
      <c r="B38" s="3" t="s">
        <v>62</v>
      </c>
      <c r="C38" s="3" t="s">
        <v>223</v>
      </c>
      <c r="D38" s="4"/>
      <c r="E38" s="4"/>
      <c r="F38" s="5" t="s">
        <v>63</v>
      </c>
      <c r="G38" s="4"/>
      <c r="H38" s="9">
        <f>SUM(I38:Q38)</f>
        <v>1999373.4009999996</v>
      </c>
      <c r="I38" s="9">
        <f t="shared" ref="I38:N38" si="10">I39+I40+I42+I43+I44+I45+I46+I48+I49+I50+I51+I52+I53+I54+I55+I56+I57+I58+I59+I60+I61+I62+I63+I65+I66+I67+I69+I70+I71+I72+I73+I74+I75+I47</f>
        <v>204702.54199999999</v>
      </c>
      <c r="J38" s="9">
        <f t="shared" si="10"/>
        <v>227518.49999999994</v>
      </c>
      <c r="K38" s="9">
        <f t="shared" si="10"/>
        <v>203219.23799999995</v>
      </c>
      <c r="L38" s="9">
        <f t="shared" si="10"/>
        <v>219332.45199999999</v>
      </c>
      <c r="M38" s="9">
        <f t="shared" si="10"/>
        <v>228707.89600000004</v>
      </c>
      <c r="N38" s="9">
        <f t="shared" si="10"/>
        <v>226761.378</v>
      </c>
      <c r="O38" s="9">
        <f>O39+O40+O42+O43+O44+O45+O46+O50+O51+O53+O54+O55+O56+O57+O58+O59+O60+O61+O62+O63+O65+O66+O67+O69+O70+O71+O72+O73+O74+O75+O47+O41</f>
        <v>239546.20499999996</v>
      </c>
      <c r="P38" s="9">
        <f t="shared" ref="P38:Q38" si="11">P39+P40+P42+P43+P44+P45+P46+P48+P49+P50+P51+P52+P53+P54+P55+P56+P57+P58+P59+P60+P61+P62+P63+P65+P66+P67+P69+P70+P71+P72+P73+P74+P75+P47</f>
        <v>223856.62600000002</v>
      </c>
      <c r="Q38" s="9">
        <f t="shared" si="11"/>
        <v>225728.56399999998</v>
      </c>
    </row>
    <row r="39" spans="1:17" ht="60">
      <c r="A39" s="64" t="s">
        <v>66</v>
      </c>
      <c r="B39" s="21" t="s">
        <v>64</v>
      </c>
      <c r="C39" s="21" t="s">
        <v>12</v>
      </c>
      <c r="D39" s="57">
        <v>975</v>
      </c>
      <c r="E39" s="22" t="s">
        <v>22</v>
      </c>
      <c r="F39" s="23" t="s">
        <v>67</v>
      </c>
      <c r="G39" s="22" t="s">
        <v>24</v>
      </c>
      <c r="H39" s="11">
        <f>SUM(I39:Q39)</f>
        <v>384087.62100000004</v>
      </c>
      <c r="I39" s="11">
        <v>42550.025999999998</v>
      </c>
      <c r="J39" s="11">
        <v>38472.796999999999</v>
      </c>
      <c r="K39" s="10">
        <f>47329.333</f>
        <v>47329.332999999999</v>
      </c>
      <c r="L39" s="11">
        <f>41455.89+857.2+5115.523-74.6-30-108.119-2320.56+445.004+13734.452</f>
        <v>59074.79</v>
      </c>
      <c r="M39" s="17">
        <v>43904.408000000003</v>
      </c>
      <c r="N39" s="17">
        <f>43337.61-95.969-149.215-3.492-6020</f>
        <v>37068.934000000008</v>
      </c>
      <c r="O39" s="11">
        <f>42998.791+262</f>
        <v>43260.790999999997</v>
      </c>
      <c r="P39" s="11">
        <v>41213.271000000001</v>
      </c>
      <c r="Q39" s="11">
        <v>31213.271000000001</v>
      </c>
    </row>
    <row r="40" spans="1:17" ht="85.5" customHeight="1">
      <c r="A40" s="65"/>
      <c r="B40" s="21" t="s">
        <v>65</v>
      </c>
      <c r="C40" s="21" t="s">
        <v>12</v>
      </c>
      <c r="D40" s="57">
        <v>975</v>
      </c>
      <c r="E40" s="22" t="s">
        <v>22</v>
      </c>
      <c r="F40" s="23" t="s">
        <v>68</v>
      </c>
      <c r="G40" s="22" t="s">
        <v>199</v>
      </c>
      <c r="H40" s="11">
        <f t="shared" ref="H40:H75" si="12">SUM(I40:Q40)</f>
        <v>1428127.07</v>
      </c>
      <c r="I40" s="11">
        <v>141469.29999999999</v>
      </c>
      <c r="J40" s="11">
        <v>149482.427</v>
      </c>
      <c r="K40" s="10">
        <f>142133.572</f>
        <v>142133.57199999999</v>
      </c>
      <c r="L40" s="11">
        <f>139751.8-256.85+1500</f>
        <v>140994.94999999998</v>
      </c>
      <c r="M40" s="17">
        <f>170279.6-283.5</f>
        <v>169996.1</v>
      </c>
      <c r="N40" s="17">
        <f>165643.06+1214.6-4381.429</f>
        <v>162476.231</v>
      </c>
      <c r="O40" s="11">
        <v>164949.13</v>
      </c>
      <c r="P40" s="11">
        <v>172371.03</v>
      </c>
      <c r="Q40" s="11">
        <v>184254.33</v>
      </c>
    </row>
    <row r="41" spans="1:17" ht="165">
      <c r="A41" s="65"/>
      <c r="B41" s="21" t="s">
        <v>283</v>
      </c>
      <c r="C41" s="21" t="s">
        <v>12</v>
      </c>
      <c r="D41" s="59">
        <v>975</v>
      </c>
      <c r="E41" s="22" t="s">
        <v>22</v>
      </c>
      <c r="F41" s="23" t="s">
        <v>284</v>
      </c>
      <c r="G41" s="22" t="s">
        <v>24</v>
      </c>
      <c r="H41" s="11">
        <f t="shared" si="12"/>
        <v>3468.5</v>
      </c>
      <c r="I41" s="11">
        <v>0</v>
      </c>
      <c r="J41" s="11">
        <v>0</v>
      </c>
      <c r="K41" s="10">
        <v>0</v>
      </c>
      <c r="L41" s="11">
        <v>0</v>
      </c>
      <c r="M41" s="17">
        <v>0</v>
      </c>
      <c r="N41" s="17">
        <v>0</v>
      </c>
      <c r="O41" s="11">
        <v>3468.5</v>
      </c>
      <c r="P41" s="11">
        <v>0</v>
      </c>
      <c r="Q41" s="11">
        <v>0</v>
      </c>
    </row>
    <row r="42" spans="1:17" ht="63" customHeight="1">
      <c r="A42" s="65"/>
      <c r="B42" s="21" t="s">
        <v>247</v>
      </c>
      <c r="C42" s="21" t="s">
        <v>12</v>
      </c>
      <c r="D42" s="57">
        <v>975</v>
      </c>
      <c r="E42" s="22" t="s">
        <v>22</v>
      </c>
      <c r="F42" s="23" t="s">
        <v>248</v>
      </c>
      <c r="G42" s="22" t="s">
        <v>24</v>
      </c>
      <c r="H42" s="11">
        <f t="shared" si="12"/>
        <v>40.081000000000003</v>
      </c>
      <c r="I42" s="11">
        <v>0</v>
      </c>
      <c r="J42" s="11">
        <v>0</v>
      </c>
      <c r="K42" s="10">
        <v>0</v>
      </c>
      <c r="L42" s="11">
        <v>0</v>
      </c>
      <c r="M42" s="17">
        <v>0</v>
      </c>
      <c r="N42" s="17">
        <v>40.081000000000003</v>
      </c>
      <c r="O42" s="11">
        <v>0</v>
      </c>
      <c r="P42" s="11">
        <v>0</v>
      </c>
      <c r="Q42" s="11">
        <v>0</v>
      </c>
    </row>
    <row r="43" spans="1:17" ht="63" customHeight="1">
      <c r="A43" s="65"/>
      <c r="B43" s="21" t="s">
        <v>247</v>
      </c>
      <c r="C43" s="21" t="s">
        <v>12</v>
      </c>
      <c r="D43" s="57">
        <v>975</v>
      </c>
      <c r="E43" s="22" t="s">
        <v>22</v>
      </c>
      <c r="F43" s="23" t="s">
        <v>248</v>
      </c>
      <c r="G43" s="22" t="s">
        <v>24</v>
      </c>
      <c r="H43" s="11">
        <f t="shared" si="12"/>
        <v>40.08</v>
      </c>
      <c r="I43" s="11">
        <v>0</v>
      </c>
      <c r="J43" s="11">
        <v>0</v>
      </c>
      <c r="K43" s="10">
        <v>0</v>
      </c>
      <c r="L43" s="11">
        <v>0</v>
      </c>
      <c r="M43" s="17">
        <v>0</v>
      </c>
      <c r="N43" s="17">
        <v>40.08</v>
      </c>
      <c r="O43" s="11">
        <v>0</v>
      </c>
      <c r="P43" s="11">
        <v>0</v>
      </c>
      <c r="Q43" s="11">
        <v>0</v>
      </c>
    </row>
    <row r="44" spans="1:17" ht="63" customHeight="1">
      <c r="A44" s="65"/>
      <c r="B44" s="24" t="s">
        <v>256</v>
      </c>
      <c r="C44" s="24" t="s">
        <v>12</v>
      </c>
      <c r="D44" s="25">
        <v>975</v>
      </c>
      <c r="E44" s="26" t="s">
        <v>22</v>
      </c>
      <c r="F44" s="27" t="s">
        <v>257</v>
      </c>
      <c r="G44" s="26" t="s">
        <v>24</v>
      </c>
      <c r="H44" s="11">
        <f t="shared" si="12"/>
        <v>13978.383000000002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f>133.208+13187.6+651+6.575</f>
        <v>13978.383000000002</v>
      </c>
      <c r="O44" s="17">
        <v>0</v>
      </c>
      <c r="P44" s="17">
        <v>0</v>
      </c>
      <c r="Q44" s="17">
        <v>0</v>
      </c>
    </row>
    <row r="45" spans="1:17" ht="165">
      <c r="A45" s="21" t="s">
        <v>222</v>
      </c>
      <c r="B45" s="21" t="s">
        <v>69</v>
      </c>
      <c r="C45" s="21" t="s">
        <v>12</v>
      </c>
      <c r="D45" s="57">
        <v>975</v>
      </c>
      <c r="E45" s="22" t="s">
        <v>140</v>
      </c>
      <c r="F45" s="23" t="s">
        <v>70</v>
      </c>
      <c r="G45" s="22" t="s">
        <v>24</v>
      </c>
      <c r="H45" s="11">
        <f t="shared" si="12"/>
        <v>4847.2760000000007</v>
      </c>
      <c r="I45" s="11">
        <v>375.77600000000001</v>
      </c>
      <c r="J45" s="11">
        <v>569</v>
      </c>
      <c r="K45" s="10">
        <f>562.1</f>
        <v>562.1</v>
      </c>
      <c r="L45" s="11">
        <v>558.5</v>
      </c>
      <c r="M45" s="17">
        <f>360</f>
        <v>360</v>
      </c>
      <c r="N45" s="17">
        <f>357+241</f>
        <v>598</v>
      </c>
      <c r="O45" s="11">
        <v>580.79999999999995</v>
      </c>
      <c r="P45" s="11">
        <v>604.1</v>
      </c>
      <c r="Q45" s="11">
        <v>639</v>
      </c>
    </row>
    <row r="46" spans="1:17" ht="45">
      <c r="A46" s="21" t="s">
        <v>71</v>
      </c>
      <c r="B46" s="21" t="s">
        <v>59</v>
      </c>
      <c r="C46" s="21" t="s">
        <v>12</v>
      </c>
      <c r="D46" s="57">
        <v>975</v>
      </c>
      <c r="E46" s="22" t="s">
        <v>22</v>
      </c>
      <c r="F46" s="23" t="s">
        <v>72</v>
      </c>
      <c r="G46" s="22" t="s">
        <v>24</v>
      </c>
      <c r="H46" s="11">
        <f t="shared" si="12"/>
        <v>9657.0080000000016</v>
      </c>
      <c r="I46" s="11">
        <v>1232.6320000000001</v>
      </c>
      <c r="J46" s="11">
        <v>1180.22</v>
      </c>
      <c r="K46" s="10">
        <f>1130.527</f>
        <v>1130.527</v>
      </c>
      <c r="L46" s="11">
        <v>973.16700000000003</v>
      </c>
      <c r="M46" s="17">
        <f>831.82-22.862</f>
        <v>808.95800000000008</v>
      </c>
      <c r="N46" s="17">
        <f>661+105.369-5.483</f>
        <v>760.88600000000008</v>
      </c>
      <c r="O46" s="11">
        <f>805.7+1553.518</f>
        <v>2359.2179999999998</v>
      </c>
      <c r="P46" s="11">
        <v>805.7</v>
      </c>
      <c r="Q46" s="11">
        <v>405.7</v>
      </c>
    </row>
    <row r="47" spans="1:17" ht="45">
      <c r="A47" s="70" t="s">
        <v>73</v>
      </c>
      <c r="B47" s="21" t="s">
        <v>74</v>
      </c>
      <c r="C47" s="21" t="s">
        <v>12</v>
      </c>
      <c r="D47" s="57">
        <v>975</v>
      </c>
      <c r="E47" s="22" t="s">
        <v>22</v>
      </c>
      <c r="F47" s="23" t="s">
        <v>76</v>
      </c>
      <c r="G47" s="22" t="s">
        <v>200</v>
      </c>
      <c r="H47" s="11">
        <f t="shared" si="12"/>
        <v>18805.563000000002</v>
      </c>
      <c r="I47" s="11">
        <v>964.34900000000005</v>
      </c>
      <c r="J47" s="11">
        <v>3377.9319999999998</v>
      </c>
      <c r="K47" s="10">
        <f>1620.682</f>
        <v>1620.682</v>
      </c>
      <c r="L47" s="11">
        <f>607.609+668.887-0.4+59.97+100.772</f>
        <v>1436.838</v>
      </c>
      <c r="M47" s="17">
        <f>2376.18-9.962</f>
        <v>2366.2179999999998</v>
      </c>
      <c r="N47" s="17">
        <f>33+10</f>
        <v>43</v>
      </c>
      <c r="O47" s="11">
        <v>8996.5439999999999</v>
      </c>
      <c r="P47" s="11">
        <v>0</v>
      </c>
      <c r="Q47" s="11">
        <v>0</v>
      </c>
    </row>
    <row r="48" spans="1:17" ht="45">
      <c r="A48" s="71"/>
      <c r="B48" s="21" t="s">
        <v>74</v>
      </c>
      <c r="C48" s="21" t="s">
        <v>12</v>
      </c>
      <c r="D48" s="59">
        <v>975</v>
      </c>
      <c r="E48" s="22" t="s">
        <v>22</v>
      </c>
      <c r="F48" s="23" t="s">
        <v>76</v>
      </c>
      <c r="G48" s="22" t="s">
        <v>24</v>
      </c>
      <c r="H48" s="11">
        <f t="shared" si="12"/>
        <v>3316.643</v>
      </c>
      <c r="I48" s="11">
        <v>0</v>
      </c>
      <c r="J48" s="11">
        <v>0</v>
      </c>
      <c r="K48" s="10">
        <v>0</v>
      </c>
      <c r="L48" s="11">
        <v>0</v>
      </c>
      <c r="M48" s="17">
        <v>0</v>
      </c>
      <c r="N48" s="17">
        <v>0</v>
      </c>
      <c r="O48" s="11">
        <v>3316.643</v>
      </c>
      <c r="P48" s="11">
        <v>0</v>
      </c>
      <c r="Q48" s="11">
        <v>0</v>
      </c>
    </row>
    <row r="49" spans="1:17" ht="165">
      <c r="A49" s="71"/>
      <c r="B49" s="21" t="s">
        <v>282</v>
      </c>
      <c r="C49" s="21" t="s">
        <v>12</v>
      </c>
      <c r="D49" s="59">
        <v>975</v>
      </c>
      <c r="E49" s="22" t="s">
        <v>22</v>
      </c>
      <c r="F49" s="23" t="s">
        <v>76</v>
      </c>
      <c r="G49" s="22" t="s">
        <v>24</v>
      </c>
      <c r="H49" s="11">
        <f t="shared" si="12"/>
        <v>727.15300000000002</v>
      </c>
      <c r="I49" s="11">
        <v>0</v>
      </c>
      <c r="J49" s="11">
        <v>0</v>
      </c>
      <c r="K49" s="10">
        <v>0</v>
      </c>
      <c r="L49" s="11">
        <v>0</v>
      </c>
      <c r="M49" s="17">
        <v>0</v>
      </c>
      <c r="N49" s="17">
        <v>0</v>
      </c>
      <c r="O49" s="11">
        <v>727.15300000000002</v>
      </c>
      <c r="P49" s="11">
        <v>0</v>
      </c>
      <c r="Q49" s="11">
        <v>0</v>
      </c>
    </row>
    <row r="50" spans="1:17" s="18" customFormat="1" ht="45">
      <c r="A50" s="71"/>
      <c r="B50" s="21" t="s">
        <v>74</v>
      </c>
      <c r="C50" s="24" t="s">
        <v>12</v>
      </c>
      <c r="D50" s="25">
        <v>975</v>
      </c>
      <c r="E50" s="26" t="s">
        <v>22</v>
      </c>
      <c r="F50" s="27" t="s">
        <v>238</v>
      </c>
      <c r="G50" s="26" t="s">
        <v>200</v>
      </c>
      <c r="H50" s="11">
        <f t="shared" si="12"/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</row>
    <row r="51" spans="1:17" ht="60">
      <c r="A51" s="71"/>
      <c r="B51" s="21" t="s">
        <v>75</v>
      </c>
      <c r="C51" s="21" t="s">
        <v>12</v>
      </c>
      <c r="D51" s="57">
        <v>975</v>
      </c>
      <c r="E51" s="22" t="s">
        <v>22</v>
      </c>
      <c r="F51" s="23" t="s">
        <v>77</v>
      </c>
      <c r="G51" s="22" t="s">
        <v>24</v>
      </c>
      <c r="H51" s="11">
        <f t="shared" si="12"/>
        <v>11078</v>
      </c>
      <c r="I51" s="11">
        <v>0</v>
      </c>
      <c r="J51" s="11">
        <v>11078</v>
      </c>
      <c r="K51" s="10">
        <v>0</v>
      </c>
      <c r="L51" s="11">
        <v>0</v>
      </c>
      <c r="M51" s="17">
        <v>0</v>
      </c>
      <c r="N51" s="17">
        <v>0</v>
      </c>
      <c r="O51" s="11">
        <v>0</v>
      </c>
      <c r="P51" s="11">
        <v>0</v>
      </c>
      <c r="Q51" s="11">
        <v>0</v>
      </c>
    </row>
    <row r="52" spans="1:17" s="2" customFormat="1" ht="75">
      <c r="A52" s="71"/>
      <c r="B52" s="42" t="s">
        <v>220</v>
      </c>
      <c r="C52" s="42" t="s">
        <v>12</v>
      </c>
      <c r="D52" s="43">
        <v>975</v>
      </c>
      <c r="E52" s="44" t="s">
        <v>22</v>
      </c>
      <c r="F52" s="45" t="s">
        <v>226</v>
      </c>
      <c r="G52" s="44" t="s">
        <v>24</v>
      </c>
      <c r="H52" s="11">
        <f t="shared" si="12"/>
        <v>5707.7599999999993</v>
      </c>
      <c r="I52" s="10">
        <v>0</v>
      </c>
      <c r="J52" s="10">
        <v>0</v>
      </c>
      <c r="K52" s="10">
        <v>0</v>
      </c>
      <c r="L52" s="10">
        <v>259.89999999999998</v>
      </c>
      <c r="M52" s="10">
        <v>495.11200000000002</v>
      </c>
      <c r="N52" s="17">
        <v>0</v>
      </c>
      <c r="O52" s="10">
        <v>4952.7479999999996</v>
      </c>
      <c r="P52" s="10">
        <v>0</v>
      </c>
      <c r="Q52" s="10">
        <v>0</v>
      </c>
    </row>
    <row r="53" spans="1:17" ht="45">
      <c r="A53" s="21" t="s">
        <v>79</v>
      </c>
      <c r="B53" s="21" t="s">
        <v>202</v>
      </c>
      <c r="C53" s="21" t="s">
        <v>12</v>
      </c>
      <c r="D53" s="57">
        <v>975</v>
      </c>
      <c r="E53" s="22" t="s">
        <v>22</v>
      </c>
      <c r="F53" s="23" t="s">
        <v>78</v>
      </c>
      <c r="G53" s="22" t="s">
        <v>24</v>
      </c>
      <c r="H53" s="11">
        <f t="shared" si="12"/>
        <v>20337.557000000001</v>
      </c>
      <c r="I53" s="11">
        <v>6540.8950000000004</v>
      </c>
      <c r="J53" s="11">
        <v>11784.134</v>
      </c>
      <c r="K53" s="10">
        <f>1516.743</f>
        <v>1516.7429999999999</v>
      </c>
      <c r="L53" s="11">
        <f>2341.1-1948.93-392-0.17</f>
        <v>-1.5462631175466868E-13</v>
      </c>
      <c r="M53" s="17">
        <f>499-3.215</f>
        <v>495.78500000000003</v>
      </c>
      <c r="N53" s="17">
        <v>0</v>
      </c>
      <c r="O53" s="11">
        <v>0</v>
      </c>
      <c r="P53" s="11">
        <v>0</v>
      </c>
      <c r="Q53" s="11">
        <v>0</v>
      </c>
    </row>
    <row r="54" spans="1:17" ht="60">
      <c r="A54" s="64" t="s">
        <v>80</v>
      </c>
      <c r="B54" s="21" t="s">
        <v>195</v>
      </c>
      <c r="C54" s="21" t="s">
        <v>12</v>
      </c>
      <c r="D54" s="57">
        <v>975</v>
      </c>
      <c r="E54" s="22" t="s">
        <v>22</v>
      </c>
      <c r="F54" s="23" t="s">
        <v>82</v>
      </c>
      <c r="G54" s="22" t="s">
        <v>24</v>
      </c>
      <c r="H54" s="11">
        <f t="shared" si="12"/>
        <v>9164.2529999999988</v>
      </c>
      <c r="I54" s="11">
        <v>2868.4250000000002</v>
      </c>
      <c r="J54" s="11">
        <v>1546.83</v>
      </c>
      <c r="K54" s="10">
        <f>760.681</f>
        <v>760.68100000000004</v>
      </c>
      <c r="L54" s="11">
        <v>1619.2270000000001</v>
      </c>
      <c r="M54" s="17">
        <f>1767.95+39.857</f>
        <v>1807.807</v>
      </c>
      <c r="N54" s="17">
        <f>25+400+50.283+86</f>
        <v>561.28300000000002</v>
      </c>
      <c r="O54" s="11">
        <v>0</v>
      </c>
      <c r="P54" s="11">
        <v>0</v>
      </c>
      <c r="Q54" s="11">
        <v>0</v>
      </c>
    </row>
    <row r="55" spans="1:17" ht="60">
      <c r="A55" s="66"/>
      <c r="B55" s="21" t="s">
        <v>81</v>
      </c>
      <c r="C55" s="21" t="s">
        <v>12</v>
      </c>
      <c r="D55" s="57">
        <v>975</v>
      </c>
      <c r="E55" s="22" t="s">
        <v>22</v>
      </c>
      <c r="F55" s="23" t="s">
        <v>77</v>
      </c>
      <c r="G55" s="22" t="s">
        <v>24</v>
      </c>
      <c r="H55" s="11">
        <f t="shared" si="12"/>
        <v>165.13900000000001</v>
      </c>
      <c r="I55" s="11">
        <v>165.13900000000001</v>
      </c>
      <c r="J55" s="11">
        <v>0</v>
      </c>
      <c r="K55" s="10">
        <v>0</v>
      </c>
      <c r="L55" s="11">
        <v>0</v>
      </c>
      <c r="M55" s="17">
        <v>0</v>
      </c>
      <c r="N55" s="17">
        <v>0</v>
      </c>
      <c r="O55" s="11">
        <v>0</v>
      </c>
      <c r="P55" s="11">
        <v>0</v>
      </c>
      <c r="Q55" s="11">
        <v>0</v>
      </c>
    </row>
    <row r="56" spans="1:17" ht="45">
      <c r="A56" s="21" t="s">
        <v>83</v>
      </c>
      <c r="B56" s="21" t="s">
        <v>203</v>
      </c>
      <c r="C56" s="21" t="s">
        <v>12</v>
      </c>
      <c r="D56" s="57">
        <v>975</v>
      </c>
      <c r="E56" s="22" t="s">
        <v>22</v>
      </c>
      <c r="F56" s="23" t="s">
        <v>84</v>
      </c>
      <c r="G56" s="22" t="s">
        <v>24</v>
      </c>
      <c r="H56" s="11">
        <f t="shared" si="12"/>
        <v>14943.833999999999</v>
      </c>
      <c r="I56" s="11">
        <v>1160</v>
      </c>
      <c r="J56" s="11">
        <v>1195</v>
      </c>
      <c r="K56" s="10">
        <f>1255-150+100</f>
        <v>1205</v>
      </c>
      <c r="L56" s="11">
        <f>1000-302.6-80+23</f>
        <v>640.4</v>
      </c>
      <c r="M56" s="17">
        <v>2085.7080000000001</v>
      </c>
      <c r="N56" s="17">
        <f>2600+76</f>
        <v>2676</v>
      </c>
      <c r="O56" s="11">
        <v>5981.7259999999997</v>
      </c>
      <c r="P56" s="11">
        <v>0</v>
      </c>
      <c r="Q56" s="11">
        <v>0</v>
      </c>
    </row>
    <row r="57" spans="1:17" ht="90">
      <c r="A57" s="21" t="s">
        <v>85</v>
      </c>
      <c r="B57" s="21" t="s">
        <v>86</v>
      </c>
      <c r="C57" s="21" t="s">
        <v>12</v>
      </c>
      <c r="D57" s="57">
        <v>975</v>
      </c>
      <c r="E57" s="22" t="s">
        <v>22</v>
      </c>
      <c r="F57" s="23" t="s">
        <v>87</v>
      </c>
      <c r="G57" s="22" t="s">
        <v>88</v>
      </c>
      <c r="H57" s="11">
        <f t="shared" si="12"/>
        <v>0</v>
      </c>
      <c r="I57" s="11">
        <v>0</v>
      </c>
      <c r="J57" s="11">
        <v>0</v>
      </c>
      <c r="K57" s="10">
        <v>0</v>
      </c>
      <c r="L57" s="11">
        <v>0</v>
      </c>
      <c r="M57" s="17">
        <v>0</v>
      </c>
      <c r="N57" s="17">
        <v>0</v>
      </c>
      <c r="O57" s="11">
        <v>0</v>
      </c>
      <c r="P57" s="11">
        <v>0</v>
      </c>
      <c r="Q57" s="11">
        <v>0</v>
      </c>
    </row>
    <row r="58" spans="1:17" ht="45">
      <c r="A58" s="21" t="s">
        <v>89</v>
      </c>
      <c r="B58" s="21" t="s">
        <v>74</v>
      </c>
      <c r="C58" s="21" t="s">
        <v>12</v>
      </c>
      <c r="D58" s="57">
        <v>975</v>
      </c>
      <c r="E58" s="22" t="s">
        <v>22</v>
      </c>
      <c r="F58" s="23" t="s">
        <v>90</v>
      </c>
      <c r="G58" s="22" t="s">
        <v>24</v>
      </c>
      <c r="H58" s="11">
        <f t="shared" si="12"/>
        <v>0</v>
      </c>
      <c r="I58" s="11">
        <v>0</v>
      </c>
      <c r="J58" s="11">
        <v>0</v>
      </c>
      <c r="K58" s="10">
        <v>0</v>
      </c>
      <c r="L58" s="11">
        <v>0</v>
      </c>
      <c r="M58" s="17">
        <v>0</v>
      </c>
      <c r="N58" s="17">
        <v>0</v>
      </c>
      <c r="O58" s="11">
        <v>0</v>
      </c>
      <c r="P58" s="11">
        <v>0</v>
      </c>
      <c r="Q58" s="11">
        <v>0</v>
      </c>
    </row>
    <row r="59" spans="1:17" ht="45">
      <c r="A59" s="21" t="s">
        <v>91</v>
      </c>
      <c r="B59" s="21" t="s">
        <v>92</v>
      </c>
      <c r="C59" s="21" t="s">
        <v>12</v>
      </c>
      <c r="D59" s="57">
        <v>975</v>
      </c>
      <c r="E59" s="22" t="s">
        <v>22</v>
      </c>
      <c r="F59" s="23" t="s">
        <v>93</v>
      </c>
      <c r="G59" s="22" t="s">
        <v>52</v>
      </c>
      <c r="H59" s="11">
        <f t="shared" si="12"/>
        <v>136.119</v>
      </c>
      <c r="I59" s="11">
        <v>18.899999999999999</v>
      </c>
      <c r="J59" s="11">
        <v>17.36</v>
      </c>
      <c r="K59" s="10">
        <v>18.899999999999999</v>
      </c>
      <c r="L59" s="11">
        <v>8.98</v>
      </c>
      <c r="M59" s="17">
        <f>12</f>
        <v>12</v>
      </c>
      <c r="N59" s="17">
        <v>0</v>
      </c>
      <c r="O59" s="11">
        <v>19.978999999999999</v>
      </c>
      <c r="P59" s="11">
        <v>20</v>
      </c>
      <c r="Q59" s="11">
        <v>20</v>
      </c>
    </row>
    <row r="60" spans="1:17" ht="57.75" customHeight="1">
      <c r="A60" s="21" t="s">
        <v>94</v>
      </c>
      <c r="B60" s="21" t="s">
        <v>95</v>
      </c>
      <c r="C60" s="21" t="s">
        <v>12</v>
      </c>
      <c r="D60" s="57">
        <v>975</v>
      </c>
      <c r="E60" s="22" t="s">
        <v>22</v>
      </c>
      <c r="F60" s="23" t="s">
        <v>96</v>
      </c>
      <c r="G60" s="22" t="s">
        <v>52</v>
      </c>
      <c r="H60" s="11">
        <f t="shared" si="12"/>
        <v>0</v>
      </c>
      <c r="I60" s="11">
        <v>0</v>
      </c>
      <c r="J60" s="11">
        <v>0</v>
      </c>
      <c r="K60" s="10">
        <v>0</v>
      </c>
      <c r="L60" s="11">
        <v>0</v>
      </c>
      <c r="M60" s="17">
        <v>0</v>
      </c>
      <c r="N60" s="17">
        <v>0</v>
      </c>
      <c r="O60" s="11">
        <v>0</v>
      </c>
      <c r="P60" s="11">
        <v>0</v>
      </c>
      <c r="Q60" s="11">
        <v>0</v>
      </c>
    </row>
    <row r="61" spans="1:17" ht="61.9" customHeight="1">
      <c r="A61" s="21" t="s">
        <v>97</v>
      </c>
      <c r="B61" s="21" t="s">
        <v>264</v>
      </c>
      <c r="C61" s="21" t="s">
        <v>12</v>
      </c>
      <c r="D61" s="57">
        <v>975</v>
      </c>
      <c r="E61" s="22" t="s">
        <v>22</v>
      </c>
      <c r="F61" s="23" t="s">
        <v>98</v>
      </c>
      <c r="G61" s="22" t="s">
        <v>99</v>
      </c>
      <c r="H61" s="11">
        <f t="shared" si="12"/>
        <v>1306.6999999999998</v>
      </c>
      <c r="I61" s="11">
        <v>494.9</v>
      </c>
      <c r="J61" s="11">
        <v>490.9</v>
      </c>
      <c r="K61" s="10">
        <f>320.9</f>
        <v>320.89999999999998</v>
      </c>
      <c r="L61" s="11">
        <v>0</v>
      </c>
      <c r="M61" s="17">
        <v>0</v>
      </c>
      <c r="N61" s="17">
        <v>0</v>
      </c>
      <c r="O61" s="11">
        <v>0</v>
      </c>
      <c r="P61" s="11">
        <v>0</v>
      </c>
      <c r="Q61" s="11">
        <v>0</v>
      </c>
    </row>
    <row r="62" spans="1:17" ht="64.150000000000006" customHeight="1">
      <c r="A62" s="21" t="s">
        <v>100</v>
      </c>
      <c r="B62" s="21" t="s">
        <v>265</v>
      </c>
      <c r="C62" s="21" t="s">
        <v>12</v>
      </c>
      <c r="D62" s="57">
        <v>975</v>
      </c>
      <c r="E62" s="22" t="s">
        <v>22</v>
      </c>
      <c r="F62" s="23" t="s">
        <v>101</v>
      </c>
      <c r="G62" s="22" t="s">
        <v>102</v>
      </c>
      <c r="H62" s="11">
        <f t="shared" si="12"/>
        <v>389.8</v>
      </c>
      <c r="I62" s="11">
        <v>135</v>
      </c>
      <c r="J62" s="11">
        <v>83.8</v>
      </c>
      <c r="K62" s="10">
        <v>145</v>
      </c>
      <c r="L62" s="11">
        <v>13</v>
      </c>
      <c r="M62" s="17">
        <f>13</f>
        <v>13</v>
      </c>
      <c r="N62" s="17">
        <v>0</v>
      </c>
      <c r="O62" s="11">
        <v>0</v>
      </c>
      <c r="P62" s="11">
        <v>0</v>
      </c>
      <c r="Q62" s="11">
        <v>0</v>
      </c>
    </row>
    <row r="63" spans="1:17" ht="60">
      <c r="A63" s="21" t="s">
        <v>193</v>
      </c>
      <c r="B63" s="21" t="s">
        <v>196</v>
      </c>
      <c r="C63" s="21" t="s">
        <v>12</v>
      </c>
      <c r="D63" s="57">
        <v>975</v>
      </c>
      <c r="E63" s="22" t="s">
        <v>22</v>
      </c>
      <c r="F63" s="23" t="s">
        <v>192</v>
      </c>
      <c r="G63" s="22" t="s">
        <v>24</v>
      </c>
      <c r="H63" s="11">
        <f t="shared" si="12"/>
        <v>225</v>
      </c>
      <c r="I63" s="11">
        <v>0</v>
      </c>
      <c r="J63" s="11">
        <v>0</v>
      </c>
      <c r="K63" s="10">
        <f>105+90</f>
        <v>195</v>
      </c>
      <c r="L63" s="11">
        <f>30</f>
        <v>30</v>
      </c>
      <c r="M63" s="17">
        <v>0</v>
      </c>
      <c r="N63" s="17">
        <v>0</v>
      </c>
      <c r="O63" s="11">
        <v>0</v>
      </c>
      <c r="P63" s="11">
        <v>0</v>
      </c>
      <c r="Q63" s="11">
        <v>0</v>
      </c>
    </row>
    <row r="64" spans="1:17" ht="33" customHeight="1">
      <c r="A64" s="21" t="s">
        <v>18</v>
      </c>
      <c r="B64" s="60" t="s">
        <v>103</v>
      </c>
      <c r="C64" s="61"/>
      <c r="D64" s="57"/>
      <c r="E64" s="22"/>
      <c r="F64" s="23"/>
      <c r="G64" s="22"/>
      <c r="H64" s="11">
        <f t="shared" si="12"/>
        <v>0</v>
      </c>
      <c r="I64" s="11"/>
      <c r="J64" s="11"/>
      <c r="K64" s="10"/>
      <c r="L64" s="11"/>
      <c r="M64" s="17"/>
      <c r="N64" s="17"/>
      <c r="O64" s="11"/>
      <c r="P64" s="11"/>
      <c r="Q64" s="11"/>
    </row>
    <row r="65" spans="1:17" ht="48" customHeight="1">
      <c r="A65" s="64" t="s">
        <v>104</v>
      </c>
      <c r="B65" s="21" t="s">
        <v>105</v>
      </c>
      <c r="C65" s="21" t="s">
        <v>12</v>
      </c>
      <c r="D65" s="57">
        <v>975</v>
      </c>
      <c r="E65" s="22" t="s">
        <v>22</v>
      </c>
      <c r="F65" s="23" t="s">
        <v>108</v>
      </c>
      <c r="G65" s="22" t="s">
        <v>24</v>
      </c>
      <c r="H65" s="11">
        <f t="shared" si="12"/>
        <v>465</v>
      </c>
      <c r="I65" s="11">
        <v>0</v>
      </c>
      <c r="J65" s="11">
        <v>465</v>
      </c>
      <c r="K65" s="10">
        <v>0</v>
      </c>
      <c r="L65" s="11">
        <f>335-335</f>
        <v>0</v>
      </c>
      <c r="M65" s="17">
        <v>0</v>
      </c>
      <c r="N65" s="17">
        <v>0</v>
      </c>
      <c r="O65" s="11">
        <v>0</v>
      </c>
      <c r="P65" s="11">
        <v>0</v>
      </c>
      <c r="Q65" s="11">
        <v>0</v>
      </c>
    </row>
    <row r="66" spans="1:17" ht="62.25" customHeight="1">
      <c r="A66" s="65"/>
      <c r="B66" s="21" t="s">
        <v>106</v>
      </c>
      <c r="C66" s="21" t="s">
        <v>12</v>
      </c>
      <c r="D66" s="57">
        <v>975</v>
      </c>
      <c r="E66" s="22" t="s">
        <v>22</v>
      </c>
      <c r="F66" s="23" t="s">
        <v>109</v>
      </c>
      <c r="G66" s="22" t="s">
        <v>24</v>
      </c>
      <c r="H66" s="11">
        <f t="shared" si="12"/>
        <v>756</v>
      </c>
      <c r="I66" s="11">
        <v>0</v>
      </c>
      <c r="J66" s="11">
        <v>756</v>
      </c>
      <c r="K66" s="10">
        <v>0</v>
      </c>
      <c r="L66" s="11">
        <v>0</v>
      </c>
      <c r="M66" s="17">
        <v>0</v>
      </c>
      <c r="N66" s="17">
        <v>0</v>
      </c>
      <c r="O66" s="11">
        <v>0</v>
      </c>
      <c r="P66" s="11">
        <v>0</v>
      </c>
      <c r="Q66" s="11">
        <v>0</v>
      </c>
    </row>
    <row r="67" spans="1:17" ht="105">
      <c r="A67" s="66"/>
      <c r="B67" s="21" t="s">
        <v>107</v>
      </c>
      <c r="C67" s="21" t="s">
        <v>12</v>
      </c>
      <c r="D67" s="57">
        <v>975</v>
      </c>
      <c r="E67" s="22" t="s">
        <v>22</v>
      </c>
      <c r="F67" s="23" t="s">
        <v>110</v>
      </c>
      <c r="G67" s="22" t="s">
        <v>24</v>
      </c>
      <c r="H67" s="11">
        <f t="shared" si="12"/>
        <v>400</v>
      </c>
      <c r="I67" s="11">
        <v>0</v>
      </c>
      <c r="J67" s="11">
        <v>400</v>
      </c>
      <c r="K67" s="10">
        <v>0</v>
      </c>
      <c r="L67" s="11">
        <v>0</v>
      </c>
      <c r="M67" s="17">
        <v>0</v>
      </c>
      <c r="N67" s="17">
        <v>0</v>
      </c>
      <c r="O67" s="11">
        <v>0</v>
      </c>
      <c r="P67" s="11">
        <v>0</v>
      </c>
      <c r="Q67" s="11">
        <v>0</v>
      </c>
    </row>
    <row r="68" spans="1:17">
      <c r="A68" s="21" t="s">
        <v>18</v>
      </c>
      <c r="B68" s="60" t="s">
        <v>111</v>
      </c>
      <c r="C68" s="61"/>
      <c r="D68" s="57"/>
      <c r="E68" s="22"/>
      <c r="F68" s="23"/>
      <c r="G68" s="22"/>
      <c r="H68" s="11"/>
      <c r="I68" s="11"/>
      <c r="J68" s="11"/>
      <c r="K68" s="10"/>
      <c r="L68" s="11"/>
      <c r="M68" s="17"/>
      <c r="N68" s="17"/>
      <c r="O68" s="11"/>
      <c r="P68" s="11"/>
      <c r="Q68" s="11"/>
    </row>
    <row r="69" spans="1:17" ht="106.5" customHeight="1">
      <c r="A69" s="21" t="s">
        <v>112</v>
      </c>
      <c r="B69" s="21" t="s">
        <v>113</v>
      </c>
      <c r="C69" s="21" t="s">
        <v>12</v>
      </c>
      <c r="D69" s="57">
        <v>975</v>
      </c>
      <c r="E69" s="22" t="s">
        <v>22</v>
      </c>
      <c r="F69" s="23" t="s">
        <v>114</v>
      </c>
      <c r="G69" s="22" t="s">
        <v>24</v>
      </c>
      <c r="H69" s="11">
        <f t="shared" si="12"/>
        <v>19627.099999999999</v>
      </c>
      <c r="I69" s="11">
        <v>6727.2</v>
      </c>
      <c r="J69" s="11">
        <v>6619.1</v>
      </c>
      <c r="K69" s="10">
        <v>6280.8</v>
      </c>
      <c r="L69" s="11">
        <f>6148.1-6148.1</f>
        <v>0</v>
      </c>
      <c r="M69" s="17">
        <v>0</v>
      </c>
      <c r="N69" s="17">
        <v>0</v>
      </c>
      <c r="O69" s="11">
        <v>0</v>
      </c>
      <c r="P69" s="11">
        <v>0</v>
      </c>
      <c r="Q69" s="11">
        <v>0</v>
      </c>
    </row>
    <row r="70" spans="1:17" ht="106.5" customHeight="1">
      <c r="A70" s="42" t="s">
        <v>208</v>
      </c>
      <c r="B70" s="42" t="s">
        <v>234</v>
      </c>
      <c r="C70" s="42" t="s">
        <v>12</v>
      </c>
      <c r="D70" s="43">
        <v>975</v>
      </c>
      <c r="E70" s="44" t="s">
        <v>22</v>
      </c>
      <c r="F70" s="45" t="s">
        <v>227</v>
      </c>
      <c r="G70" s="44" t="s">
        <v>24</v>
      </c>
      <c r="H70" s="10">
        <f t="shared" si="12"/>
        <v>46859.3</v>
      </c>
      <c r="I70" s="10">
        <v>0</v>
      </c>
      <c r="J70" s="10">
        <v>0</v>
      </c>
      <c r="K70" s="10">
        <v>0</v>
      </c>
      <c r="L70" s="10">
        <v>6148.1</v>
      </c>
      <c r="M70" s="10">
        <f>6264.8+34.3</f>
        <v>6299.1</v>
      </c>
      <c r="N70" s="10">
        <f>8346.1-209.8</f>
        <v>8136.3</v>
      </c>
      <c r="O70" s="10">
        <v>8417.4</v>
      </c>
      <c r="P70" s="10">
        <v>8754.1</v>
      </c>
      <c r="Q70" s="10">
        <v>9104.2999999999993</v>
      </c>
    </row>
    <row r="71" spans="1:17" ht="60">
      <c r="A71" s="62" t="s">
        <v>212</v>
      </c>
      <c r="B71" s="42" t="s">
        <v>269</v>
      </c>
      <c r="C71" s="42" t="s">
        <v>12</v>
      </c>
      <c r="D71" s="43">
        <v>975</v>
      </c>
      <c r="E71" s="44" t="s">
        <v>22</v>
      </c>
      <c r="F71" s="45" t="s">
        <v>270</v>
      </c>
      <c r="G71" s="44" t="s">
        <v>24</v>
      </c>
      <c r="H71" s="10">
        <f t="shared" si="12"/>
        <v>1284.384</v>
      </c>
      <c r="I71" s="10">
        <v>0</v>
      </c>
      <c r="J71" s="10">
        <v>0</v>
      </c>
      <c r="K71" s="10">
        <v>0</v>
      </c>
      <c r="L71" s="10">
        <f>33.3-33.3</f>
        <v>0</v>
      </c>
      <c r="M71" s="10">
        <v>0</v>
      </c>
      <c r="N71" s="10">
        <v>0</v>
      </c>
      <c r="O71" s="10">
        <v>1284.384</v>
      </c>
      <c r="P71" s="10">
        <v>0</v>
      </c>
      <c r="Q71" s="10">
        <v>0</v>
      </c>
    </row>
    <row r="72" spans="1:17" ht="60">
      <c r="A72" s="63"/>
      <c r="B72" s="42" t="s">
        <v>269</v>
      </c>
      <c r="C72" s="42" t="s">
        <v>12</v>
      </c>
      <c r="D72" s="43">
        <v>975</v>
      </c>
      <c r="E72" s="44" t="s">
        <v>22</v>
      </c>
      <c r="F72" s="45" t="s">
        <v>270</v>
      </c>
      <c r="G72" s="44" t="s">
        <v>24</v>
      </c>
      <c r="H72" s="10">
        <f t="shared" si="12"/>
        <v>142.709</v>
      </c>
      <c r="I72" s="10">
        <v>0</v>
      </c>
      <c r="J72" s="10">
        <v>0</v>
      </c>
      <c r="K72" s="10">
        <v>0</v>
      </c>
      <c r="L72" s="10">
        <f>33.3-33.3</f>
        <v>0</v>
      </c>
      <c r="M72" s="10">
        <v>0</v>
      </c>
      <c r="N72" s="10">
        <v>0</v>
      </c>
      <c r="O72" s="10">
        <v>142.709</v>
      </c>
      <c r="P72" s="10">
        <v>0</v>
      </c>
      <c r="Q72" s="10">
        <v>0</v>
      </c>
    </row>
    <row r="73" spans="1:17" ht="106.5" customHeight="1">
      <c r="A73" s="42" t="s">
        <v>213</v>
      </c>
      <c r="B73" s="42" t="s">
        <v>207</v>
      </c>
      <c r="C73" s="42" t="s">
        <v>12</v>
      </c>
      <c r="D73" s="43">
        <v>975</v>
      </c>
      <c r="E73" s="44" t="s">
        <v>22</v>
      </c>
      <c r="F73" s="45" t="s">
        <v>214</v>
      </c>
      <c r="G73" s="44" t="s">
        <v>24</v>
      </c>
      <c r="H73" s="10">
        <f t="shared" si="12"/>
        <v>485.91200000000003</v>
      </c>
      <c r="I73" s="10">
        <v>0</v>
      </c>
      <c r="J73" s="10">
        <v>0</v>
      </c>
      <c r="K73" s="10">
        <v>0</v>
      </c>
      <c r="L73" s="10">
        <v>74.599999999999994</v>
      </c>
      <c r="M73" s="10">
        <f>63.3+0.4</f>
        <v>63.699999999999996</v>
      </c>
      <c r="N73" s="10">
        <f>84.305-2.105</f>
        <v>82.2</v>
      </c>
      <c r="O73" s="10">
        <v>85.024000000000001</v>
      </c>
      <c r="P73" s="10">
        <v>88.424999999999997</v>
      </c>
      <c r="Q73" s="10">
        <v>91.962999999999994</v>
      </c>
    </row>
    <row r="74" spans="1:17" ht="106.5" customHeight="1">
      <c r="A74" s="21" t="s">
        <v>228</v>
      </c>
      <c r="B74" s="21" t="s">
        <v>218</v>
      </c>
      <c r="C74" s="21" t="s">
        <v>12</v>
      </c>
      <c r="D74" s="57">
        <v>975</v>
      </c>
      <c r="E74" s="22" t="s">
        <v>22</v>
      </c>
      <c r="F74" s="23" t="s">
        <v>229</v>
      </c>
      <c r="G74" s="22" t="s">
        <v>24</v>
      </c>
      <c r="H74" s="11">
        <f t="shared" si="12"/>
        <v>7500</v>
      </c>
      <c r="I74" s="11">
        <v>0</v>
      </c>
      <c r="J74" s="11">
        <v>0</v>
      </c>
      <c r="K74" s="10">
        <v>0</v>
      </c>
      <c r="L74" s="17">
        <v>7500</v>
      </c>
      <c r="M74" s="17">
        <v>0</v>
      </c>
      <c r="N74" s="17">
        <v>0</v>
      </c>
      <c r="O74" s="11">
        <v>0</v>
      </c>
      <c r="P74" s="11">
        <v>0</v>
      </c>
      <c r="Q74" s="11">
        <v>0</v>
      </c>
    </row>
    <row r="75" spans="1:17" ht="106.5" customHeight="1">
      <c r="A75" s="21" t="s">
        <v>228</v>
      </c>
      <c r="B75" s="21" t="s">
        <v>242</v>
      </c>
      <c r="C75" s="21" t="s">
        <v>12</v>
      </c>
      <c r="D75" s="57">
        <v>975</v>
      </c>
      <c r="E75" s="22" t="s">
        <v>22</v>
      </c>
      <c r="F75" s="23" t="s">
        <v>243</v>
      </c>
      <c r="G75" s="22" t="s">
        <v>24</v>
      </c>
      <c r="H75" s="11">
        <f t="shared" si="12"/>
        <v>300</v>
      </c>
      <c r="I75" s="11">
        <v>0</v>
      </c>
      <c r="J75" s="11">
        <v>0</v>
      </c>
      <c r="K75" s="10">
        <v>0</v>
      </c>
      <c r="L75" s="11">
        <v>0</v>
      </c>
      <c r="M75" s="17">
        <v>0</v>
      </c>
      <c r="N75" s="17">
        <v>300</v>
      </c>
      <c r="O75" s="11">
        <v>0</v>
      </c>
      <c r="P75" s="11">
        <v>0</v>
      </c>
      <c r="Q75" s="11">
        <v>0</v>
      </c>
    </row>
    <row r="76" spans="1:17" ht="90">
      <c r="A76" s="3" t="s">
        <v>116</v>
      </c>
      <c r="B76" s="3" t="s">
        <v>117</v>
      </c>
      <c r="C76" s="3" t="s">
        <v>224</v>
      </c>
      <c r="D76" s="4"/>
      <c r="E76" s="4"/>
      <c r="F76" s="5" t="s">
        <v>115</v>
      </c>
      <c r="G76" s="4"/>
      <c r="H76" s="9">
        <f>SUM(I76:Q76)</f>
        <v>189401.34299999999</v>
      </c>
      <c r="I76" s="9">
        <f>I78+I80+I82+I84+I85+I87+I90+I91+I92+I94+I99+I100+I101+I103+I104+I88+I105+I108+I109+I95+I96+I97+I106+I107</f>
        <v>25267.874</v>
      </c>
      <c r="J76" s="9">
        <f t="shared" ref="J76:Q76" si="13">J78+J80+J82+J84+J85+J87+J90+J91+J92+J94+J99+J100+J101+J103+J104+J88+J105+J108+J109+J95+J96+J97+J106+J107</f>
        <v>23319.319</v>
      </c>
      <c r="K76" s="9">
        <f t="shared" si="13"/>
        <v>18178.423999999999</v>
      </c>
      <c r="L76" s="9">
        <f t="shared" si="13"/>
        <v>18177.117999999999</v>
      </c>
      <c r="M76" s="9">
        <f t="shared" si="13"/>
        <v>21308.096999999998</v>
      </c>
      <c r="N76" s="9">
        <f t="shared" si="13"/>
        <v>21668.732000000004</v>
      </c>
      <c r="O76" s="9">
        <f>O78+O80+O82+O84+O85+O87+O90+O91+O92+O94+O99+O100+O101+O103+O104+O88+O105+O108+O109+O95+O96+O97+O106+O107</f>
        <v>23786.756999999998</v>
      </c>
      <c r="P76" s="9">
        <f t="shared" si="13"/>
        <v>21597.510999999999</v>
      </c>
      <c r="Q76" s="9">
        <f t="shared" si="13"/>
        <v>16097.511000000002</v>
      </c>
    </row>
    <row r="77" spans="1:17" ht="31.5" customHeight="1">
      <c r="A77" s="21" t="s">
        <v>18</v>
      </c>
      <c r="B77" s="60" t="s">
        <v>118</v>
      </c>
      <c r="C77" s="61"/>
      <c r="D77" s="57"/>
      <c r="E77" s="22"/>
      <c r="F77" s="23"/>
      <c r="G77" s="22"/>
      <c r="H77" s="11"/>
      <c r="I77" s="11"/>
      <c r="J77" s="11"/>
      <c r="K77" s="10"/>
      <c r="L77" s="11"/>
      <c r="M77" s="17"/>
      <c r="N77" s="17"/>
      <c r="O77" s="11"/>
      <c r="P77" s="11"/>
      <c r="Q77" s="11"/>
    </row>
    <row r="78" spans="1:17" ht="60">
      <c r="A78" s="21" t="s">
        <v>119</v>
      </c>
      <c r="B78" s="21" t="s">
        <v>120</v>
      </c>
      <c r="C78" s="21" t="s">
        <v>12</v>
      </c>
      <c r="D78" s="57">
        <v>975</v>
      </c>
      <c r="E78" s="22" t="s">
        <v>22</v>
      </c>
      <c r="F78" s="23" t="s">
        <v>121</v>
      </c>
      <c r="G78" s="22" t="s">
        <v>52</v>
      </c>
      <c r="H78" s="11">
        <f>SUM(I78:Q78)</f>
        <v>18</v>
      </c>
      <c r="I78" s="11">
        <v>6</v>
      </c>
      <c r="J78" s="11">
        <v>6</v>
      </c>
      <c r="K78" s="10">
        <v>6</v>
      </c>
      <c r="L78" s="11">
        <v>0</v>
      </c>
      <c r="M78" s="17">
        <v>0</v>
      </c>
      <c r="N78" s="17">
        <v>0</v>
      </c>
      <c r="O78" s="11">
        <v>0</v>
      </c>
      <c r="P78" s="11">
        <v>0</v>
      </c>
      <c r="Q78" s="11">
        <v>0</v>
      </c>
    </row>
    <row r="79" spans="1:17" ht="32.25" customHeight="1">
      <c r="A79" s="21" t="s">
        <v>18</v>
      </c>
      <c r="B79" s="60" t="s">
        <v>123</v>
      </c>
      <c r="C79" s="61"/>
      <c r="D79" s="57"/>
      <c r="E79" s="22"/>
      <c r="F79" s="23"/>
      <c r="G79" s="22"/>
      <c r="H79" s="11"/>
      <c r="I79" s="11"/>
      <c r="J79" s="11"/>
      <c r="K79" s="10"/>
      <c r="L79" s="11"/>
      <c r="M79" s="17"/>
      <c r="N79" s="17"/>
      <c r="O79" s="11"/>
      <c r="P79" s="11"/>
      <c r="Q79" s="11"/>
    </row>
    <row r="80" spans="1:17" ht="45">
      <c r="A80" s="21" t="s">
        <v>122</v>
      </c>
      <c r="B80" s="21" t="s">
        <v>124</v>
      </c>
      <c r="C80" s="21" t="s">
        <v>12</v>
      </c>
      <c r="D80" s="57">
        <v>975</v>
      </c>
      <c r="E80" s="22" t="s">
        <v>22</v>
      </c>
      <c r="F80" s="23" t="s">
        <v>235</v>
      </c>
      <c r="G80" s="22" t="s">
        <v>52</v>
      </c>
      <c r="H80" s="11">
        <f>SUM(I80:Q80)</f>
        <v>5173.6260000000002</v>
      </c>
      <c r="I80" s="11">
        <v>800</v>
      </c>
      <c r="J80" s="11">
        <v>800</v>
      </c>
      <c r="K80" s="10">
        <v>800</v>
      </c>
      <c r="L80" s="11">
        <v>800</v>
      </c>
      <c r="M80" s="17">
        <v>500</v>
      </c>
      <c r="N80" s="17">
        <f>500-26.374</f>
        <v>473.62599999999998</v>
      </c>
      <c r="O80" s="11">
        <v>500</v>
      </c>
      <c r="P80" s="11">
        <v>500</v>
      </c>
      <c r="Q80" s="11">
        <v>0</v>
      </c>
    </row>
    <row r="81" spans="1:17">
      <c r="A81" s="21"/>
      <c r="B81" s="21"/>
      <c r="C81" s="21"/>
      <c r="D81" s="57"/>
      <c r="E81" s="22"/>
      <c r="F81" s="23"/>
      <c r="G81" s="22"/>
      <c r="H81" s="11"/>
      <c r="I81" s="11"/>
      <c r="J81" s="11"/>
      <c r="K81" s="10"/>
      <c r="L81" s="11"/>
      <c r="M81" s="17"/>
      <c r="N81" s="17"/>
      <c r="O81" s="11"/>
      <c r="P81" s="11"/>
      <c r="Q81" s="11"/>
    </row>
    <row r="82" spans="1:17" ht="45">
      <c r="A82" s="21" t="s">
        <v>122</v>
      </c>
      <c r="B82" s="21" t="s">
        <v>125</v>
      </c>
      <c r="C82" s="21" t="s">
        <v>12</v>
      </c>
      <c r="D82" s="57">
        <v>975</v>
      </c>
      <c r="E82" s="22" t="s">
        <v>22</v>
      </c>
      <c r="F82" s="23" t="s">
        <v>126</v>
      </c>
      <c r="G82" s="22" t="s">
        <v>52</v>
      </c>
      <c r="H82" s="11">
        <f>SUM(I82:Q82)</f>
        <v>18</v>
      </c>
      <c r="I82" s="11">
        <v>9</v>
      </c>
      <c r="J82" s="11">
        <v>9</v>
      </c>
      <c r="K82" s="10">
        <v>0</v>
      </c>
      <c r="L82" s="11">
        <v>0</v>
      </c>
      <c r="M82" s="17">
        <v>0</v>
      </c>
      <c r="N82" s="17">
        <v>0</v>
      </c>
      <c r="O82" s="11">
        <v>0</v>
      </c>
      <c r="P82" s="11">
        <v>0</v>
      </c>
      <c r="Q82" s="11">
        <v>0</v>
      </c>
    </row>
    <row r="83" spans="1:17">
      <c r="A83" s="21" t="s">
        <v>18</v>
      </c>
      <c r="B83" s="60" t="s">
        <v>127</v>
      </c>
      <c r="C83" s="61"/>
      <c r="D83" s="57"/>
      <c r="E83" s="22"/>
      <c r="F83" s="23"/>
      <c r="G83" s="22"/>
      <c r="H83" s="11"/>
      <c r="I83" s="11"/>
      <c r="J83" s="11"/>
      <c r="K83" s="10"/>
      <c r="L83" s="11"/>
      <c r="M83" s="17"/>
      <c r="N83" s="17"/>
      <c r="O83" s="11"/>
      <c r="P83" s="11"/>
      <c r="Q83" s="11"/>
    </row>
    <row r="84" spans="1:17" ht="45">
      <c r="A84" s="21" t="s">
        <v>128</v>
      </c>
      <c r="B84" s="21" t="s">
        <v>129</v>
      </c>
      <c r="C84" s="21" t="s">
        <v>12</v>
      </c>
      <c r="D84" s="57">
        <v>975</v>
      </c>
      <c r="E84" s="22" t="s">
        <v>22</v>
      </c>
      <c r="F84" s="23" t="s">
        <v>130</v>
      </c>
      <c r="G84" s="22" t="s">
        <v>52</v>
      </c>
      <c r="H84" s="11">
        <f>SUM(I84:Q84)</f>
        <v>311.32299999999998</v>
      </c>
      <c r="I84" s="11">
        <v>187.5</v>
      </c>
      <c r="J84" s="11">
        <v>77.433000000000007</v>
      </c>
      <c r="K84" s="10">
        <f>46.39</f>
        <v>46.39</v>
      </c>
      <c r="L84" s="11">
        <v>0</v>
      </c>
      <c r="M84" s="17">
        <v>0</v>
      </c>
      <c r="N84" s="17">
        <v>0</v>
      </c>
      <c r="O84" s="11">
        <v>0</v>
      </c>
      <c r="P84" s="11">
        <v>0</v>
      </c>
      <c r="Q84" s="11">
        <v>0</v>
      </c>
    </row>
    <row r="85" spans="1:17" ht="53.25" customHeight="1">
      <c r="A85" s="21" t="s">
        <v>131</v>
      </c>
      <c r="B85" s="21" t="s">
        <v>132</v>
      </c>
      <c r="C85" s="21" t="s">
        <v>12</v>
      </c>
      <c r="D85" s="57">
        <v>975</v>
      </c>
      <c r="E85" s="22" t="s">
        <v>22</v>
      </c>
      <c r="F85" s="23" t="s">
        <v>133</v>
      </c>
      <c r="G85" s="22" t="s">
        <v>52</v>
      </c>
      <c r="H85" s="11">
        <f>SUM(I85:Q85)</f>
        <v>0</v>
      </c>
      <c r="I85" s="11">
        <v>0</v>
      </c>
      <c r="J85" s="11">
        <v>0</v>
      </c>
      <c r="K85" s="10">
        <v>0</v>
      </c>
      <c r="L85" s="11">
        <v>0</v>
      </c>
      <c r="M85" s="17">
        <v>0</v>
      </c>
      <c r="N85" s="17">
        <v>0</v>
      </c>
      <c r="O85" s="11">
        <v>0</v>
      </c>
      <c r="P85" s="11">
        <v>0</v>
      </c>
      <c r="Q85" s="11">
        <v>0</v>
      </c>
    </row>
    <row r="86" spans="1:17">
      <c r="A86" s="21" t="s">
        <v>18</v>
      </c>
      <c r="B86" s="60" t="s">
        <v>134</v>
      </c>
      <c r="C86" s="61"/>
      <c r="D86" s="57"/>
      <c r="E86" s="22"/>
      <c r="F86" s="23"/>
      <c r="G86" s="22"/>
      <c r="H86" s="11"/>
      <c r="I86" s="11"/>
      <c r="J86" s="11"/>
      <c r="K86" s="10"/>
      <c r="L86" s="11"/>
      <c r="M86" s="17"/>
      <c r="N86" s="17"/>
      <c r="O86" s="11"/>
      <c r="P86" s="11"/>
      <c r="Q86" s="11"/>
    </row>
    <row r="87" spans="1:17" ht="79.900000000000006" customHeight="1">
      <c r="A87" s="21" t="s">
        <v>135</v>
      </c>
      <c r="B87" s="21" t="s">
        <v>266</v>
      </c>
      <c r="C87" s="21" t="s">
        <v>12</v>
      </c>
      <c r="D87" s="57">
        <v>975</v>
      </c>
      <c r="E87" s="22" t="s">
        <v>22</v>
      </c>
      <c r="F87" s="23" t="s">
        <v>136</v>
      </c>
      <c r="G87" s="22" t="s">
        <v>198</v>
      </c>
      <c r="H87" s="11">
        <f t="shared" ref="H87:H88" si="14">SUM(I87:Q87)</f>
        <v>426.3</v>
      </c>
      <c r="I87" s="11">
        <v>192</v>
      </c>
      <c r="J87" s="11">
        <v>227.3</v>
      </c>
      <c r="K87" s="10">
        <v>0</v>
      </c>
      <c r="L87" s="11">
        <f>7</f>
        <v>7</v>
      </c>
      <c r="M87" s="17">
        <v>0</v>
      </c>
      <c r="N87" s="17">
        <v>0</v>
      </c>
      <c r="O87" s="11">
        <v>0</v>
      </c>
      <c r="P87" s="11">
        <v>0</v>
      </c>
      <c r="Q87" s="11">
        <v>0</v>
      </c>
    </row>
    <row r="88" spans="1:17" ht="74.45" customHeight="1">
      <c r="A88" s="21" t="s">
        <v>187</v>
      </c>
      <c r="B88" s="21" t="s">
        <v>267</v>
      </c>
      <c r="C88" s="21" t="s">
        <v>12</v>
      </c>
      <c r="D88" s="57">
        <v>975</v>
      </c>
      <c r="E88" s="22" t="s">
        <v>22</v>
      </c>
      <c r="F88" s="23" t="s">
        <v>152</v>
      </c>
      <c r="G88" s="22" t="s">
        <v>198</v>
      </c>
      <c r="H88" s="11">
        <f t="shared" si="14"/>
        <v>277.04599999999999</v>
      </c>
      <c r="I88" s="11">
        <v>0</v>
      </c>
      <c r="J88" s="11">
        <v>0</v>
      </c>
      <c r="K88" s="10">
        <f>169.046</f>
        <v>169.04599999999999</v>
      </c>
      <c r="L88" s="11">
        <v>38</v>
      </c>
      <c r="M88" s="17">
        <f>70</f>
        <v>70</v>
      </c>
      <c r="N88" s="17">
        <v>0</v>
      </c>
      <c r="O88" s="11">
        <v>0</v>
      </c>
      <c r="P88" s="11">
        <v>0</v>
      </c>
      <c r="Q88" s="11">
        <v>0</v>
      </c>
    </row>
    <row r="89" spans="1:17">
      <c r="A89" s="21" t="s">
        <v>18</v>
      </c>
      <c r="B89" s="60" t="s">
        <v>137</v>
      </c>
      <c r="C89" s="61"/>
      <c r="D89" s="57"/>
      <c r="E89" s="22"/>
      <c r="F89" s="23"/>
      <c r="G89" s="22"/>
      <c r="H89" s="11"/>
      <c r="I89" s="11"/>
      <c r="J89" s="11"/>
      <c r="K89" s="10"/>
      <c r="L89" s="11"/>
      <c r="M89" s="17"/>
      <c r="N89" s="17"/>
      <c r="O89" s="11"/>
      <c r="P89" s="11"/>
      <c r="Q89" s="11"/>
    </row>
    <row r="90" spans="1:17" ht="105">
      <c r="A90" s="68" t="s">
        <v>138</v>
      </c>
      <c r="B90" s="42" t="s">
        <v>259</v>
      </c>
      <c r="C90" s="21" t="s">
        <v>12</v>
      </c>
      <c r="D90" s="57">
        <v>975</v>
      </c>
      <c r="E90" s="22" t="s">
        <v>140</v>
      </c>
      <c r="F90" s="23" t="s">
        <v>236</v>
      </c>
      <c r="G90" s="22" t="s">
        <v>141</v>
      </c>
      <c r="H90" s="11">
        <f t="shared" ref="H90:H92" si="15">SUM(I90:Q90)</f>
        <v>6504.7470000000003</v>
      </c>
      <c r="I90" s="11">
        <v>1328.134</v>
      </c>
      <c r="J90" s="11">
        <v>761.1</v>
      </c>
      <c r="K90" s="10">
        <v>761.1</v>
      </c>
      <c r="L90" s="11">
        <v>253.7</v>
      </c>
      <c r="M90" s="17">
        <f>393.749+667.209</f>
        <v>1060.9580000000001</v>
      </c>
      <c r="N90" s="17">
        <f>965.273+41.001</f>
        <v>1006.274</v>
      </c>
      <c r="O90" s="11">
        <v>826.08100000000002</v>
      </c>
      <c r="P90" s="11">
        <v>253.7</v>
      </c>
      <c r="Q90" s="11">
        <v>253.7</v>
      </c>
    </row>
    <row r="91" spans="1:17" ht="74.25" customHeight="1">
      <c r="A91" s="69"/>
      <c r="B91" s="42" t="s">
        <v>139</v>
      </c>
      <c r="C91" s="21" t="s">
        <v>12</v>
      </c>
      <c r="D91" s="57">
        <v>975</v>
      </c>
      <c r="E91" s="22" t="s">
        <v>140</v>
      </c>
      <c r="F91" s="23" t="s">
        <v>237</v>
      </c>
      <c r="G91" s="22" t="s">
        <v>141</v>
      </c>
      <c r="H91" s="11">
        <f t="shared" si="15"/>
        <v>1310.2850000000001</v>
      </c>
      <c r="I91" s="11">
        <v>240</v>
      </c>
      <c r="J91" s="11">
        <v>461.7</v>
      </c>
      <c r="K91" s="10">
        <f>608.585</f>
        <v>608.58500000000004</v>
      </c>
      <c r="L91" s="11">
        <v>0</v>
      </c>
      <c r="M91" s="17">
        <v>0</v>
      </c>
      <c r="N91" s="17">
        <v>0</v>
      </c>
      <c r="O91" s="11">
        <v>0</v>
      </c>
      <c r="P91" s="11">
        <v>0</v>
      </c>
      <c r="Q91" s="11">
        <v>0</v>
      </c>
    </row>
    <row r="92" spans="1:17" ht="41.45" customHeight="1">
      <c r="A92" s="69"/>
      <c r="B92" s="42" t="s">
        <v>233</v>
      </c>
      <c r="C92" s="21" t="s">
        <v>12</v>
      </c>
      <c r="D92" s="51">
        <v>975</v>
      </c>
      <c r="E92" s="52" t="s">
        <v>140</v>
      </c>
      <c r="F92" s="53" t="s">
        <v>215</v>
      </c>
      <c r="G92" s="52" t="s">
        <v>141</v>
      </c>
      <c r="H92" s="11">
        <f t="shared" si="15"/>
        <v>3126.6150000000002</v>
      </c>
      <c r="I92" s="11">
        <v>770.94</v>
      </c>
      <c r="J92" s="11">
        <v>745.92499999999995</v>
      </c>
      <c r="K92" s="10">
        <f>885.614</f>
        <v>885.61400000000003</v>
      </c>
      <c r="L92" s="11">
        <f>198.994+525.142</f>
        <v>724.13600000000008</v>
      </c>
      <c r="M92" s="17">
        <v>0</v>
      </c>
      <c r="N92" s="17">
        <v>0</v>
      </c>
      <c r="O92" s="11">
        <v>0</v>
      </c>
      <c r="P92" s="11">
        <v>0</v>
      </c>
      <c r="Q92" s="11">
        <v>0</v>
      </c>
    </row>
    <row r="93" spans="1:17">
      <c r="A93" s="21" t="s">
        <v>18</v>
      </c>
      <c r="B93" s="60" t="s">
        <v>142</v>
      </c>
      <c r="C93" s="61"/>
      <c r="D93" s="57"/>
      <c r="E93" s="22"/>
      <c r="F93" s="23"/>
      <c r="G93" s="22"/>
      <c r="H93" s="11"/>
      <c r="I93" s="11"/>
      <c r="J93" s="11"/>
      <c r="K93" s="10"/>
      <c r="L93" s="11"/>
      <c r="M93" s="17"/>
      <c r="N93" s="17"/>
      <c r="O93" s="11"/>
      <c r="P93" s="11"/>
      <c r="Q93" s="11"/>
    </row>
    <row r="94" spans="1:17" s="2" customFormat="1" ht="60">
      <c r="A94" s="62" t="s">
        <v>143</v>
      </c>
      <c r="B94" s="42" t="s">
        <v>251</v>
      </c>
      <c r="C94" s="42" t="s">
        <v>12</v>
      </c>
      <c r="D94" s="43">
        <v>975</v>
      </c>
      <c r="E94" s="44" t="s">
        <v>22</v>
      </c>
      <c r="F94" s="45" t="s">
        <v>144</v>
      </c>
      <c r="G94" s="44" t="s">
        <v>24</v>
      </c>
      <c r="H94" s="11">
        <f t="shared" ref="H94:H97" si="16">SUM(I94:Q94)</f>
        <v>146462.66699999999</v>
      </c>
      <c r="I94" s="10">
        <v>19814.099999999999</v>
      </c>
      <c r="J94" s="10">
        <v>19109.900000000001</v>
      </c>
      <c r="K94" s="10">
        <f>14598.935</f>
        <v>14598.934999999999</v>
      </c>
      <c r="L94" s="10">
        <v>15189.704</v>
      </c>
      <c r="M94" s="17">
        <v>18760.789000000001</v>
      </c>
      <c r="N94" s="17">
        <f>22213.534-23.668-1504.096-64.1-2506.464-1.251-2675</f>
        <v>15438.954999999998</v>
      </c>
      <c r="O94" s="10">
        <v>17378.620999999999</v>
      </c>
      <c r="P94" s="10">
        <v>15790.276</v>
      </c>
      <c r="Q94" s="10">
        <v>10381.387000000001</v>
      </c>
    </row>
    <row r="95" spans="1:17" s="2" customFormat="1" ht="75">
      <c r="A95" s="67"/>
      <c r="B95" s="24" t="s">
        <v>271</v>
      </c>
      <c r="C95" s="24" t="s">
        <v>12</v>
      </c>
      <c r="D95" s="25">
        <v>975</v>
      </c>
      <c r="E95" s="26" t="s">
        <v>22</v>
      </c>
      <c r="F95" s="27" t="s">
        <v>221</v>
      </c>
      <c r="G95" s="26" t="s">
        <v>24</v>
      </c>
      <c r="H95" s="11">
        <f t="shared" si="16"/>
        <v>20484.642</v>
      </c>
      <c r="I95" s="17">
        <v>0</v>
      </c>
      <c r="J95" s="17">
        <v>0</v>
      </c>
      <c r="K95" s="17">
        <v>0</v>
      </c>
      <c r="L95" s="17">
        <f>359.8+3.63</f>
        <v>363.43</v>
      </c>
      <c r="M95" s="17">
        <f>710.248+74.532+11.57</f>
        <v>796.35000000000014</v>
      </c>
      <c r="N95" s="17">
        <f>1489.055+63.459+2481.4+40.746</f>
        <v>4074.6600000000003</v>
      </c>
      <c r="O95" s="17">
        <v>4734.2430000000004</v>
      </c>
      <c r="P95" s="17">
        <v>5053.5349999999999</v>
      </c>
      <c r="Q95" s="17">
        <v>5462.424</v>
      </c>
    </row>
    <row r="96" spans="1:17" s="2" customFormat="1" ht="60">
      <c r="A96" s="67"/>
      <c r="B96" s="21" t="s">
        <v>258</v>
      </c>
      <c r="C96" s="21" t="s">
        <v>12</v>
      </c>
      <c r="D96" s="57">
        <v>975</v>
      </c>
      <c r="E96" s="22" t="s">
        <v>22</v>
      </c>
      <c r="F96" s="23" t="s">
        <v>249</v>
      </c>
      <c r="G96" s="22" t="s">
        <v>24</v>
      </c>
      <c r="H96" s="11">
        <f t="shared" si="16"/>
        <v>4.2750000000000004</v>
      </c>
      <c r="I96" s="11">
        <v>0</v>
      </c>
      <c r="J96" s="11">
        <v>0</v>
      </c>
      <c r="K96" s="10">
        <v>0</v>
      </c>
      <c r="L96" s="11">
        <v>0</v>
      </c>
      <c r="M96" s="17">
        <v>0</v>
      </c>
      <c r="N96" s="17">
        <v>4.2750000000000004</v>
      </c>
      <c r="O96" s="11">
        <v>0</v>
      </c>
      <c r="P96" s="11">
        <v>0</v>
      </c>
      <c r="Q96" s="11">
        <v>0</v>
      </c>
    </row>
    <row r="97" spans="1:17" s="2" customFormat="1" ht="60">
      <c r="A97" s="63"/>
      <c r="B97" s="21" t="s">
        <v>250</v>
      </c>
      <c r="C97" s="21" t="s">
        <v>12</v>
      </c>
      <c r="D97" s="57">
        <v>975</v>
      </c>
      <c r="E97" s="22" t="s">
        <v>22</v>
      </c>
      <c r="F97" s="23" t="s">
        <v>249</v>
      </c>
      <c r="G97" s="22" t="s">
        <v>24</v>
      </c>
      <c r="H97" s="11">
        <f t="shared" si="16"/>
        <v>4.2750000000000004</v>
      </c>
      <c r="I97" s="11">
        <v>0</v>
      </c>
      <c r="J97" s="11">
        <v>0</v>
      </c>
      <c r="K97" s="10">
        <v>0</v>
      </c>
      <c r="L97" s="11">
        <v>0</v>
      </c>
      <c r="M97" s="17">
        <v>0</v>
      </c>
      <c r="N97" s="17">
        <v>4.2750000000000004</v>
      </c>
      <c r="O97" s="11">
        <v>0</v>
      </c>
      <c r="P97" s="11">
        <v>0</v>
      </c>
      <c r="Q97" s="11">
        <v>0</v>
      </c>
    </row>
    <row r="98" spans="1:17">
      <c r="A98" s="21" t="s">
        <v>18</v>
      </c>
      <c r="B98" s="60" t="s">
        <v>142</v>
      </c>
      <c r="C98" s="61"/>
      <c r="D98" s="57"/>
      <c r="E98" s="22"/>
      <c r="F98" s="23"/>
      <c r="G98" s="22"/>
      <c r="H98" s="11"/>
      <c r="I98" s="11"/>
      <c r="J98" s="11"/>
      <c r="K98" s="10"/>
      <c r="L98" s="11"/>
      <c r="M98" s="17"/>
      <c r="N98" s="17"/>
      <c r="O98" s="11"/>
      <c r="P98" s="11"/>
      <c r="Q98" s="11"/>
    </row>
    <row r="99" spans="1:17" ht="45.75" customHeight="1">
      <c r="A99" s="21" t="s">
        <v>145</v>
      </c>
      <c r="B99" s="21" t="s">
        <v>146</v>
      </c>
      <c r="C99" s="21" t="s">
        <v>12</v>
      </c>
      <c r="D99" s="57">
        <v>975</v>
      </c>
      <c r="E99" s="22" t="s">
        <v>22</v>
      </c>
      <c r="F99" s="23" t="s">
        <v>147</v>
      </c>
      <c r="G99" s="22" t="s">
        <v>24</v>
      </c>
      <c r="H99" s="11">
        <f t="shared" ref="H99:H101" si="17">SUM(I99:Q99)</f>
        <v>1045.961</v>
      </c>
      <c r="I99" s="11">
        <v>0</v>
      </c>
      <c r="J99" s="11">
        <v>1045.961</v>
      </c>
      <c r="K99" s="10">
        <v>0</v>
      </c>
      <c r="L99" s="11">
        <v>0</v>
      </c>
      <c r="M99" s="17">
        <v>0</v>
      </c>
      <c r="N99" s="17">
        <v>0</v>
      </c>
      <c r="O99" s="11">
        <v>0</v>
      </c>
      <c r="P99" s="11">
        <v>0</v>
      </c>
      <c r="Q99" s="11">
        <v>0</v>
      </c>
    </row>
    <row r="100" spans="1:17" ht="45">
      <c r="A100" s="21" t="s">
        <v>148</v>
      </c>
      <c r="B100" s="21" t="s">
        <v>149</v>
      </c>
      <c r="C100" s="21" t="s">
        <v>12</v>
      </c>
      <c r="D100" s="57">
        <v>975</v>
      </c>
      <c r="E100" s="22" t="s">
        <v>22</v>
      </c>
      <c r="F100" s="23" t="s">
        <v>150</v>
      </c>
      <c r="G100" s="22" t="s">
        <v>24</v>
      </c>
      <c r="H100" s="11">
        <f t="shared" si="17"/>
        <v>735</v>
      </c>
      <c r="I100" s="11">
        <v>115</v>
      </c>
      <c r="J100" s="11">
        <v>75</v>
      </c>
      <c r="K100" s="10">
        <f>140-15</f>
        <v>125</v>
      </c>
      <c r="L100" s="11">
        <v>300</v>
      </c>
      <c r="M100" s="17">
        <v>120</v>
      </c>
      <c r="N100" s="17">
        <v>0</v>
      </c>
      <c r="O100" s="11">
        <v>0</v>
      </c>
      <c r="P100" s="11">
        <v>0</v>
      </c>
      <c r="Q100" s="11">
        <v>0</v>
      </c>
    </row>
    <row r="101" spans="1:17" ht="45">
      <c r="A101" s="21" t="s">
        <v>151</v>
      </c>
      <c r="B101" s="21" t="s">
        <v>268</v>
      </c>
      <c r="C101" s="21" t="s">
        <v>12</v>
      </c>
      <c r="D101" s="57">
        <v>975</v>
      </c>
      <c r="E101" s="22" t="s">
        <v>22</v>
      </c>
      <c r="F101" s="23" t="s">
        <v>205</v>
      </c>
      <c r="G101" s="22" t="s">
        <v>24</v>
      </c>
      <c r="H101" s="11">
        <f t="shared" si="17"/>
        <v>438.64300000000003</v>
      </c>
      <c r="I101" s="11">
        <v>179.16</v>
      </c>
      <c r="J101" s="11">
        <v>0</v>
      </c>
      <c r="K101" s="10">
        <f>111.669</f>
        <v>111.669</v>
      </c>
      <c r="L101" s="11">
        <f>100+60-12.19+0.004</f>
        <v>147.81399999999999</v>
      </c>
      <c r="M101" s="17">
        <v>0</v>
      </c>
      <c r="N101" s="17">
        <v>0</v>
      </c>
      <c r="O101" s="11">
        <v>0</v>
      </c>
      <c r="P101" s="11">
        <v>0</v>
      </c>
      <c r="Q101" s="11">
        <v>0</v>
      </c>
    </row>
    <row r="102" spans="1:17" ht="31.5" customHeight="1">
      <c r="A102" s="21" t="s">
        <v>18</v>
      </c>
      <c r="B102" s="60" t="s">
        <v>153</v>
      </c>
      <c r="C102" s="61"/>
      <c r="D102" s="57"/>
      <c r="E102" s="22"/>
      <c r="F102" s="23"/>
      <c r="G102" s="22"/>
      <c r="H102" s="11"/>
      <c r="I102" s="11"/>
      <c r="J102" s="11"/>
      <c r="K102" s="10"/>
      <c r="L102" s="11"/>
      <c r="M102" s="17"/>
      <c r="N102" s="17"/>
      <c r="O102" s="11"/>
      <c r="P102" s="11"/>
      <c r="Q102" s="11"/>
    </row>
    <row r="103" spans="1:17" ht="90">
      <c r="A103" s="64" t="s">
        <v>209</v>
      </c>
      <c r="B103" s="21" t="s">
        <v>154</v>
      </c>
      <c r="C103" s="21" t="s">
        <v>12</v>
      </c>
      <c r="D103" s="57">
        <v>975</v>
      </c>
      <c r="E103" s="22" t="s">
        <v>22</v>
      </c>
      <c r="F103" s="23" t="s">
        <v>156</v>
      </c>
      <c r="G103" s="22" t="s">
        <v>24</v>
      </c>
      <c r="H103" s="11">
        <f t="shared" ref="H103:H108" si="18">SUM(I103:Q103)</f>
        <v>290.54000000000002</v>
      </c>
      <c r="I103" s="11">
        <v>290.54000000000002</v>
      </c>
      <c r="J103" s="11">
        <v>0</v>
      </c>
      <c r="K103" s="10">
        <v>0</v>
      </c>
      <c r="L103" s="11">
        <v>0</v>
      </c>
      <c r="M103" s="17">
        <v>0</v>
      </c>
      <c r="N103" s="17">
        <v>0</v>
      </c>
      <c r="O103" s="11">
        <v>0</v>
      </c>
      <c r="P103" s="11">
        <v>0</v>
      </c>
      <c r="Q103" s="11">
        <v>0</v>
      </c>
    </row>
    <row r="104" spans="1:17" ht="75">
      <c r="A104" s="66"/>
      <c r="B104" s="21" t="s">
        <v>155</v>
      </c>
      <c r="C104" s="21" t="s">
        <v>12</v>
      </c>
      <c r="D104" s="57">
        <v>975</v>
      </c>
      <c r="E104" s="22" t="s">
        <v>22</v>
      </c>
      <c r="F104" s="23" t="s">
        <v>157</v>
      </c>
      <c r="G104" s="22" t="s">
        <v>24</v>
      </c>
      <c r="H104" s="11">
        <f t="shared" si="18"/>
        <v>1335.5</v>
      </c>
      <c r="I104" s="11">
        <v>1335.5</v>
      </c>
      <c r="J104" s="11">
        <v>0</v>
      </c>
      <c r="K104" s="10">
        <v>0</v>
      </c>
      <c r="L104" s="11">
        <v>0</v>
      </c>
      <c r="M104" s="17">
        <v>0</v>
      </c>
      <c r="N104" s="17">
        <v>0</v>
      </c>
      <c r="O104" s="11">
        <v>0</v>
      </c>
      <c r="P104" s="11">
        <v>0</v>
      </c>
      <c r="Q104" s="11">
        <v>0</v>
      </c>
    </row>
    <row r="105" spans="1:17" ht="45">
      <c r="A105" s="64" t="s">
        <v>210</v>
      </c>
      <c r="B105" s="21" t="s">
        <v>204</v>
      </c>
      <c r="C105" s="21" t="s">
        <v>12</v>
      </c>
      <c r="D105" s="57">
        <v>975</v>
      </c>
      <c r="E105" s="22" t="s">
        <v>22</v>
      </c>
      <c r="F105" s="23" t="s">
        <v>201</v>
      </c>
      <c r="G105" s="22" t="s">
        <v>24</v>
      </c>
      <c r="H105" s="11">
        <f t="shared" si="18"/>
        <v>151.08499999999998</v>
      </c>
      <c r="I105" s="11">
        <v>0</v>
      </c>
      <c r="J105" s="11">
        <v>0</v>
      </c>
      <c r="K105" s="10">
        <f>66.085</f>
        <v>66.084999999999994</v>
      </c>
      <c r="L105" s="11">
        <v>10</v>
      </c>
      <c r="M105" s="17">
        <v>0</v>
      </c>
      <c r="N105" s="17">
        <v>0</v>
      </c>
      <c r="O105" s="11">
        <v>75</v>
      </c>
      <c r="P105" s="11">
        <v>0</v>
      </c>
      <c r="Q105" s="11">
        <v>0</v>
      </c>
    </row>
    <row r="106" spans="1:17" ht="75">
      <c r="A106" s="65"/>
      <c r="B106" s="21" t="s">
        <v>279</v>
      </c>
      <c r="C106" s="21" t="s">
        <v>12</v>
      </c>
      <c r="D106" s="57">
        <v>975</v>
      </c>
      <c r="E106" s="22" t="s">
        <v>22</v>
      </c>
      <c r="F106" s="23" t="s">
        <v>280</v>
      </c>
      <c r="G106" s="22" t="s">
        <v>24</v>
      </c>
      <c r="H106" s="11">
        <f t="shared" ref="H106:H107" si="19">SUM(I106:Q106)</f>
        <v>255.53100000000001</v>
      </c>
      <c r="I106" s="11">
        <v>0</v>
      </c>
      <c r="J106" s="11">
        <v>0</v>
      </c>
      <c r="K106" s="10">
        <v>0</v>
      </c>
      <c r="L106" s="11">
        <v>10</v>
      </c>
      <c r="M106" s="17">
        <v>0</v>
      </c>
      <c r="N106" s="17">
        <v>0</v>
      </c>
      <c r="O106" s="11">
        <v>245.53100000000001</v>
      </c>
      <c r="P106" s="11">
        <v>0</v>
      </c>
      <c r="Q106" s="11">
        <v>0</v>
      </c>
    </row>
    <row r="107" spans="1:17" ht="75">
      <c r="A107" s="66"/>
      <c r="B107" s="21" t="s">
        <v>279</v>
      </c>
      <c r="C107" s="21" t="s">
        <v>12</v>
      </c>
      <c r="D107" s="57">
        <v>975</v>
      </c>
      <c r="E107" s="22" t="s">
        <v>22</v>
      </c>
      <c r="F107" s="23" t="s">
        <v>280</v>
      </c>
      <c r="G107" s="22" t="s">
        <v>24</v>
      </c>
      <c r="H107" s="11">
        <f t="shared" si="19"/>
        <v>27.280999999999999</v>
      </c>
      <c r="I107" s="11">
        <v>0</v>
      </c>
      <c r="J107" s="11">
        <v>0</v>
      </c>
      <c r="K107" s="10">
        <v>0</v>
      </c>
      <c r="L107" s="11">
        <v>0</v>
      </c>
      <c r="M107" s="17">
        <v>0</v>
      </c>
      <c r="N107" s="17">
        <v>0</v>
      </c>
      <c r="O107" s="11">
        <v>27.280999999999999</v>
      </c>
      <c r="P107" s="11">
        <v>0</v>
      </c>
      <c r="Q107" s="11">
        <v>0</v>
      </c>
    </row>
    <row r="108" spans="1:17" ht="75">
      <c r="A108" s="50" t="s">
        <v>211</v>
      </c>
      <c r="B108" s="21" t="s">
        <v>260</v>
      </c>
      <c r="C108" s="21" t="s">
        <v>12</v>
      </c>
      <c r="D108" s="57">
        <v>975</v>
      </c>
      <c r="E108" s="22" t="s">
        <v>22</v>
      </c>
      <c r="F108" s="23" t="s">
        <v>230</v>
      </c>
      <c r="G108" s="22" t="s">
        <v>24</v>
      </c>
      <c r="H108" s="11">
        <f t="shared" si="18"/>
        <v>100.001</v>
      </c>
      <c r="I108" s="11">
        <v>0</v>
      </c>
      <c r="J108" s="11">
        <v>0</v>
      </c>
      <c r="K108" s="10">
        <v>0</v>
      </c>
      <c r="L108" s="11">
        <f>33.3+0.034</f>
        <v>33.333999999999996</v>
      </c>
      <c r="M108" s="17">
        <v>0</v>
      </c>
      <c r="N108" s="17">
        <v>66.667000000000002</v>
      </c>
      <c r="O108" s="11">
        <v>0</v>
      </c>
      <c r="P108" s="11">
        <v>0</v>
      </c>
      <c r="Q108" s="11">
        <v>0</v>
      </c>
    </row>
    <row r="109" spans="1:17" ht="75">
      <c r="A109" s="50" t="s">
        <v>216</v>
      </c>
      <c r="B109" s="21" t="s">
        <v>261</v>
      </c>
      <c r="C109" s="21" t="s">
        <v>12</v>
      </c>
      <c r="D109" s="57">
        <v>975</v>
      </c>
      <c r="E109" s="22" t="s">
        <v>22</v>
      </c>
      <c r="F109" s="23" t="s">
        <v>230</v>
      </c>
      <c r="G109" s="22" t="s">
        <v>24</v>
      </c>
      <c r="H109" s="11">
        <f>SUM(I109:Q109)</f>
        <v>900</v>
      </c>
      <c r="I109" s="11">
        <v>0</v>
      </c>
      <c r="J109" s="11">
        <v>0</v>
      </c>
      <c r="K109" s="10">
        <v>0</v>
      </c>
      <c r="L109" s="11">
        <v>300</v>
      </c>
      <c r="M109" s="17">
        <v>0</v>
      </c>
      <c r="N109" s="17">
        <v>600</v>
      </c>
      <c r="O109" s="11">
        <v>0</v>
      </c>
      <c r="P109" s="11">
        <v>0</v>
      </c>
      <c r="Q109" s="11">
        <v>0</v>
      </c>
    </row>
    <row r="110" spans="1:17" s="18" customFormat="1" ht="75">
      <c r="A110" s="46" t="s">
        <v>158</v>
      </c>
      <c r="B110" s="46" t="s">
        <v>159</v>
      </c>
      <c r="C110" s="46" t="s">
        <v>225</v>
      </c>
      <c r="D110" s="47"/>
      <c r="E110" s="47"/>
      <c r="F110" s="48" t="s">
        <v>160</v>
      </c>
      <c r="G110" s="47"/>
      <c r="H110" s="16">
        <f>SUM(I110:Q110)</f>
        <v>15187.256999999998</v>
      </c>
      <c r="I110" s="16">
        <f>I112+I113+I115</f>
        <v>1415.6</v>
      </c>
      <c r="J110" s="16">
        <f t="shared" ref="J110:M110" si="20">J112+J113+J115</f>
        <v>2186.5190000000002</v>
      </c>
      <c r="K110" s="16">
        <f t="shared" si="20"/>
        <v>1687.818</v>
      </c>
      <c r="L110" s="16">
        <f t="shared" si="20"/>
        <v>1917.6180000000002</v>
      </c>
      <c r="M110" s="16">
        <f t="shared" si="20"/>
        <v>1798.085</v>
      </c>
      <c r="N110" s="16">
        <f>N112+N113+N115+N114</f>
        <v>1304.1659999999999</v>
      </c>
      <c r="O110" s="16">
        <f>O112+O113+O115+O114</f>
        <v>1625.817</v>
      </c>
      <c r="P110" s="16">
        <f t="shared" ref="P110:Q110" si="21">P112+P113+P115+P114</f>
        <v>1625.817</v>
      </c>
      <c r="Q110" s="16">
        <f t="shared" si="21"/>
        <v>1625.817</v>
      </c>
    </row>
    <row r="111" spans="1:17" ht="30" customHeight="1">
      <c r="A111" s="21" t="s">
        <v>18</v>
      </c>
      <c r="B111" s="60" t="s">
        <v>159</v>
      </c>
      <c r="C111" s="61"/>
      <c r="D111" s="57"/>
      <c r="E111" s="22"/>
      <c r="F111" s="23"/>
      <c r="G111" s="22"/>
      <c r="H111" s="11"/>
      <c r="I111" s="11"/>
      <c r="J111" s="11"/>
      <c r="K111" s="10"/>
      <c r="L111" s="11"/>
      <c r="M111" s="17"/>
      <c r="N111" s="17"/>
      <c r="O111" s="11"/>
      <c r="P111" s="11"/>
      <c r="Q111" s="11"/>
    </row>
    <row r="112" spans="1:17" ht="82.9" customHeight="1">
      <c r="A112" s="64" t="s">
        <v>161</v>
      </c>
      <c r="B112" s="21" t="s">
        <v>262</v>
      </c>
      <c r="C112" s="21" t="s">
        <v>12</v>
      </c>
      <c r="D112" s="57">
        <v>975</v>
      </c>
      <c r="E112" s="22" t="s">
        <v>22</v>
      </c>
      <c r="F112" s="23" t="s">
        <v>232</v>
      </c>
      <c r="G112" s="22" t="s">
        <v>164</v>
      </c>
      <c r="H112" s="11">
        <f>SUM(I112:Q112)</f>
        <v>6050.706000000001</v>
      </c>
      <c r="I112" s="11">
        <v>350.02600000000001</v>
      </c>
      <c r="J112" s="11">
        <v>660.71799999999996</v>
      </c>
      <c r="K112" s="10">
        <f>862.135</f>
        <v>862.13499999999999</v>
      </c>
      <c r="L112" s="11">
        <v>986.77599999999995</v>
      </c>
      <c r="M112" s="17">
        <f>994.65</f>
        <v>994.65</v>
      </c>
      <c r="N112" s="17">
        <f>468.2-10.8</f>
        <v>457.4</v>
      </c>
      <c r="O112" s="11">
        <v>579.66700000000003</v>
      </c>
      <c r="P112" s="11">
        <v>579.66700000000003</v>
      </c>
      <c r="Q112" s="11">
        <v>579.66700000000003</v>
      </c>
    </row>
    <row r="113" spans="1:17" ht="76.900000000000006" customHeight="1">
      <c r="A113" s="65"/>
      <c r="B113" s="21" t="s">
        <v>263</v>
      </c>
      <c r="C113" s="21" t="s">
        <v>12</v>
      </c>
      <c r="D113" s="57">
        <v>975</v>
      </c>
      <c r="E113" s="22" t="s">
        <v>22</v>
      </c>
      <c r="F113" s="23" t="s">
        <v>231</v>
      </c>
      <c r="G113" s="22" t="s">
        <v>24</v>
      </c>
      <c r="H113" s="11">
        <f>SUM(I113:Q113)</f>
        <v>6964.5</v>
      </c>
      <c r="I113" s="11">
        <v>707.8</v>
      </c>
      <c r="J113" s="11">
        <v>851.8</v>
      </c>
      <c r="K113" s="10">
        <v>729</v>
      </c>
      <c r="L113" s="11">
        <f>715.9-142.4+144.7</f>
        <v>718.2</v>
      </c>
      <c r="M113" s="17">
        <f>663.1</f>
        <v>663.1</v>
      </c>
      <c r="N113" s="17">
        <f>702.3-16.2</f>
        <v>686.09999999999991</v>
      </c>
      <c r="O113" s="11">
        <v>869.5</v>
      </c>
      <c r="P113" s="11">
        <v>869.5</v>
      </c>
      <c r="Q113" s="11">
        <v>869.5</v>
      </c>
    </row>
    <row r="114" spans="1:17" ht="76.900000000000006" customHeight="1">
      <c r="A114" s="66"/>
      <c r="B114" s="21" t="s">
        <v>252</v>
      </c>
      <c r="C114" s="21" t="s">
        <v>12</v>
      </c>
      <c r="D114" s="57">
        <v>975</v>
      </c>
      <c r="E114" s="22" t="s">
        <v>22</v>
      </c>
      <c r="F114" s="23" t="s">
        <v>253</v>
      </c>
      <c r="G114" s="22" t="s">
        <v>24</v>
      </c>
      <c r="H114" s="11">
        <f>SUM(I114:Q114)</f>
        <v>75.599999999999994</v>
      </c>
      <c r="I114" s="11">
        <v>0</v>
      </c>
      <c r="J114" s="11">
        <v>0</v>
      </c>
      <c r="K114" s="10">
        <v>0</v>
      </c>
      <c r="L114" s="11">
        <v>0</v>
      </c>
      <c r="M114" s="17">
        <v>0</v>
      </c>
      <c r="N114" s="17">
        <v>15.6</v>
      </c>
      <c r="O114" s="11">
        <v>20</v>
      </c>
      <c r="P114" s="11">
        <v>20</v>
      </c>
      <c r="Q114" s="11">
        <v>20</v>
      </c>
    </row>
    <row r="115" spans="1:17" ht="45">
      <c r="A115" s="21" t="s">
        <v>162</v>
      </c>
      <c r="B115" s="21" t="s">
        <v>163</v>
      </c>
      <c r="C115" s="21" t="s">
        <v>12</v>
      </c>
      <c r="D115" s="57">
        <v>975</v>
      </c>
      <c r="E115" s="22" t="s">
        <v>22</v>
      </c>
      <c r="F115" s="23" t="s">
        <v>272</v>
      </c>
      <c r="G115" s="22" t="s">
        <v>53</v>
      </c>
      <c r="H115" s="11">
        <f>SUM(I115:Q115)</f>
        <v>2096.4510000000005</v>
      </c>
      <c r="I115" s="11">
        <v>357.774</v>
      </c>
      <c r="J115" s="11">
        <v>674.00099999999998</v>
      </c>
      <c r="K115" s="10">
        <f>96.683</f>
        <v>96.683000000000007</v>
      </c>
      <c r="L115" s="11">
        <v>212.642</v>
      </c>
      <c r="M115" s="17">
        <v>140.33500000000001</v>
      </c>
      <c r="N115" s="17">
        <v>145.066</v>
      </c>
      <c r="O115" s="11">
        <v>156.65</v>
      </c>
      <c r="P115" s="11">
        <v>156.65</v>
      </c>
      <c r="Q115" s="11">
        <v>156.65</v>
      </c>
    </row>
    <row r="116" spans="1:17" ht="75">
      <c r="A116" s="3" t="s">
        <v>165</v>
      </c>
      <c r="B116" s="3" t="s">
        <v>166</v>
      </c>
      <c r="C116" s="3" t="s">
        <v>223</v>
      </c>
      <c r="D116" s="4"/>
      <c r="E116" s="4"/>
      <c r="F116" s="5" t="s">
        <v>167</v>
      </c>
      <c r="G116" s="4"/>
      <c r="H116" s="9">
        <f>SUM(I116:Q116)</f>
        <v>230.881</v>
      </c>
      <c r="I116" s="9">
        <f>I118+I120</f>
        <v>48.6</v>
      </c>
      <c r="J116" s="9">
        <f t="shared" ref="J116:L116" si="22">J118+J120</f>
        <v>45.545000000000002</v>
      </c>
      <c r="K116" s="12">
        <f t="shared" si="22"/>
        <v>53.6</v>
      </c>
      <c r="L116" s="9">
        <f t="shared" si="22"/>
        <v>17.135999999999999</v>
      </c>
      <c r="M116" s="16">
        <f>M118+M120</f>
        <v>66</v>
      </c>
      <c r="N116" s="16">
        <f t="shared" ref="N116:O116" si="23">N118+N120</f>
        <v>0</v>
      </c>
      <c r="O116" s="9">
        <f t="shared" si="23"/>
        <v>0</v>
      </c>
      <c r="P116" s="9">
        <f t="shared" ref="P116:Q116" si="24">P118+P120</f>
        <v>0</v>
      </c>
      <c r="Q116" s="9">
        <f t="shared" si="24"/>
        <v>0</v>
      </c>
    </row>
    <row r="117" spans="1:17" ht="31.5" customHeight="1">
      <c r="A117" s="21" t="s">
        <v>18</v>
      </c>
      <c r="B117" s="60" t="s">
        <v>168</v>
      </c>
      <c r="C117" s="61"/>
      <c r="D117" s="57"/>
      <c r="E117" s="22"/>
      <c r="F117" s="23"/>
      <c r="G117" s="22"/>
      <c r="H117" s="11"/>
      <c r="I117" s="11"/>
      <c r="J117" s="11"/>
      <c r="K117" s="10"/>
      <c r="L117" s="11"/>
      <c r="M117" s="17"/>
      <c r="N117" s="17"/>
      <c r="O117" s="11"/>
      <c r="P117" s="11"/>
      <c r="Q117" s="11"/>
    </row>
    <row r="118" spans="1:17" ht="45">
      <c r="A118" s="21" t="s">
        <v>170</v>
      </c>
      <c r="B118" s="21" t="s">
        <v>169</v>
      </c>
      <c r="C118" s="21" t="s">
        <v>12</v>
      </c>
      <c r="D118" s="57">
        <v>975</v>
      </c>
      <c r="E118" s="22" t="s">
        <v>22</v>
      </c>
      <c r="F118" s="23" t="s">
        <v>171</v>
      </c>
      <c r="G118" s="22" t="s">
        <v>172</v>
      </c>
      <c r="H118" s="11">
        <f>SUM(I118:Q118)</f>
        <v>142.03100000000001</v>
      </c>
      <c r="I118" s="11">
        <v>27.5</v>
      </c>
      <c r="J118" s="11">
        <v>24.895</v>
      </c>
      <c r="K118" s="10">
        <f>32.5</f>
        <v>32.5</v>
      </c>
      <c r="L118" s="11">
        <f>12-7.864</f>
        <v>4.1360000000000001</v>
      </c>
      <c r="M118" s="17">
        <v>53</v>
      </c>
      <c r="N118" s="17">
        <v>0</v>
      </c>
      <c r="O118" s="11">
        <v>0</v>
      </c>
      <c r="P118" s="11">
        <v>0</v>
      </c>
      <c r="Q118" s="11">
        <v>0</v>
      </c>
    </row>
    <row r="119" spans="1:17" ht="46.5" customHeight="1">
      <c r="A119" s="21" t="s">
        <v>18</v>
      </c>
      <c r="B119" s="60" t="s">
        <v>173</v>
      </c>
      <c r="C119" s="61"/>
      <c r="D119" s="57"/>
      <c r="E119" s="22"/>
      <c r="F119" s="23"/>
      <c r="G119" s="22"/>
      <c r="H119" s="11"/>
      <c r="I119" s="11"/>
      <c r="J119" s="11"/>
      <c r="K119" s="10"/>
      <c r="L119" s="11"/>
      <c r="M119" s="17"/>
      <c r="N119" s="17"/>
      <c r="O119" s="11"/>
      <c r="P119" s="11"/>
      <c r="Q119" s="11"/>
    </row>
    <row r="120" spans="1:17" ht="45">
      <c r="A120" s="21" t="s">
        <v>174</v>
      </c>
      <c r="B120" s="21" t="s">
        <v>175</v>
      </c>
      <c r="C120" s="21" t="s">
        <v>12</v>
      </c>
      <c r="D120" s="57">
        <v>975</v>
      </c>
      <c r="E120" s="22" t="s">
        <v>22</v>
      </c>
      <c r="F120" s="23" t="s">
        <v>188</v>
      </c>
      <c r="G120" s="22" t="s">
        <v>172</v>
      </c>
      <c r="H120" s="11">
        <f>SUM(I120:Q120)</f>
        <v>88.85</v>
      </c>
      <c r="I120" s="11">
        <v>21.1</v>
      </c>
      <c r="J120" s="11">
        <v>20.65</v>
      </c>
      <c r="K120" s="10">
        <v>21.1</v>
      </c>
      <c r="L120" s="11">
        <v>13</v>
      </c>
      <c r="M120" s="17">
        <v>13</v>
      </c>
      <c r="N120" s="17">
        <v>0</v>
      </c>
      <c r="O120" s="11">
        <v>0</v>
      </c>
      <c r="P120" s="11">
        <v>0</v>
      </c>
      <c r="Q120" s="11">
        <v>0</v>
      </c>
    </row>
    <row r="121" spans="1:17" ht="75">
      <c r="A121" s="3" t="s">
        <v>176</v>
      </c>
      <c r="B121" s="3" t="s">
        <v>177</v>
      </c>
      <c r="C121" s="3" t="s">
        <v>225</v>
      </c>
      <c r="D121" s="4"/>
      <c r="E121" s="4"/>
      <c r="F121" s="5" t="s">
        <v>178</v>
      </c>
      <c r="G121" s="4"/>
      <c r="H121" s="9">
        <f>SUM(I121:Q121)</f>
        <v>179930.658</v>
      </c>
      <c r="I121" s="9">
        <f>I123+I127</f>
        <v>14457.853999999999</v>
      </c>
      <c r="J121" s="9">
        <f t="shared" ref="J121:M121" si="25">J123+J127</f>
        <v>17711</v>
      </c>
      <c r="K121" s="12">
        <f t="shared" si="25"/>
        <v>18075.885999999999</v>
      </c>
      <c r="L121" s="9">
        <f t="shared" si="25"/>
        <v>17562.537</v>
      </c>
      <c r="M121" s="16">
        <f t="shared" si="25"/>
        <v>18587.968000000001</v>
      </c>
      <c r="N121" s="16">
        <f t="shared" ref="N121:O121" si="26">N123+N127</f>
        <v>19978.394</v>
      </c>
      <c r="O121" s="9">
        <f t="shared" si="26"/>
        <v>24518.992999999999</v>
      </c>
      <c r="P121" s="9">
        <f t="shared" ref="P121:Q121" si="27">P123+P127</f>
        <v>24519.012999999999</v>
      </c>
      <c r="Q121" s="9">
        <f t="shared" si="27"/>
        <v>24519.012999999999</v>
      </c>
    </row>
    <row r="122" spans="1:17" ht="32.25" customHeight="1">
      <c r="A122" s="21" t="s">
        <v>18</v>
      </c>
      <c r="B122" s="60" t="s">
        <v>179</v>
      </c>
      <c r="C122" s="61"/>
      <c r="D122" s="57"/>
      <c r="E122" s="22"/>
      <c r="F122" s="23"/>
      <c r="G122" s="22"/>
      <c r="H122" s="11"/>
      <c r="I122" s="11"/>
      <c r="J122" s="11"/>
      <c r="K122" s="10"/>
      <c r="L122" s="11"/>
      <c r="M122" s="17"/>
      <c r="N122" s="17"/>
      <c r="O122" s="11"/>
      <c r="P122" s="11"/>
      <c r="Q122" s="11"/>
    </row>
    <row r="123" spans="1:17">
      <c r="A123" s="64" t="s">
        <v>180</v>
      </c>
      <c r="B123" s="70" t="s">
        <v>182</v>
      </c>
      <c r="C123" s="70" t="s">
        <v>12</v>
      </c>
      <c r="D123" s="70">
        <v>975</v>
      </c>
      <c r="E123" s="73" t="s">
        <v>22</v>
      </c>
      <c r="F123" s="76" t="s">
        <v>184</v>
      </c>
      <c r="G123" s="22"/>
      <c r="H123" s="11">
        <f>SUM(I123:Q123)</f>
        <v>168316.00599999999</v>
      </c>
      <c r="I123" s="11">
        <v>2843.2020000000002</v>
      </c>
      <c r="J123" s="11">
        <v>17711</v>
      </c>
      <c r="K123" s="10">
        <f>18075.886</f>
        <v>18075.885999999999</v>
      </c>
      <c r="L123" s="11">
        <v>17562.537</v>
      </c>
      <c r="M123" s="17">
        <v>18587.968000000001</v>
      </c>
      <c r="N123" s="17">
        <f>SUM(N124:N126)</f>
        <v>19978.394</v>
      </c>
      <c r="O123" s="11">
        <f>SUM(O124:O126)</f>
        <v>24518.992999999999</v>
      </c>
      <c r="P123" s="11">
        <f t="shared" ref="P123:Q123" si="28">SUM(P124:P126)</f>
        <v>24519.012999999999</v>
      </c>
      <c r="Q123" s="11">
        <f t="shared" si="28"/>
        <v>24519.012999999999</v>
      </c>
    </row>
    <row r="124" spans="1:17">
      <c r="A124" s="65"/>
      <c r="B124" s="71"/>
      <c r="C124" s="71"/>
      <c r="D124" s="71"/>
      <c r="E124" s="74"/>
      <c r="F124" s="77"/>
      <c r="G124" s="22" t="s">
        <v>240</v>
      </c>
      <c r="H124" s="11"/>
      <c r="I124" s="11"/>
      <c r="J124" s="11"/>
      <c r="K124" s="10"/>
      <c r="L124" s="11"/>
      <c r="M124" s="19">
        <v>14411.605</v>
      </c>
      <c r="N124" s="19">
        <f>16636.627+311.609+1428.97-41.514</f>
        <v>18335.692000000003</v>
      </c>
      <c r="O124" s="20">
        <v>23213.012999999999</v>
      </c>
      <c r="P124" s="20">
        <v>23213.012999999999</v>
      </c>
      <c r="Q124" s="20">
        <v>23213.012999999999</v>
      </c>
    </row>
    <row r="125" spans="1:17">
      <c r="A125" s="65"/>
      <c r="B125" s="71"/>
      <c r="C125" s="71"/>
      <c r="D125" s="71"/>
      <c r="E125" s="74"/>
      <c r="F125" s="77"/>
      <c r="G125" s="22" t="s">
        <v>52</v>
      </c>
      <c r="H125" s="11"/>
      <c r="I125" s="11"/>
      <c r="J125" s="11"/>
      <c r="K125" s="10"/>
      <c r="L125" s="11"/>
      <c r="M125" s="19">
        <v>4134.9040000000005</v>
      </c>
      <c r="N125" s="19">
        <f>20+1646.038+14.897-71.336</f>
        <v>1609.5989999999999</v>
      </c>
      <c r="O125" s="20">
        <v>1284.2629999999999</v>
      </c>
      <c r="P125" s="20">
        <v>1284.5999999999999</v>
      </c>
      <c r="Q125" s="20">
        <v>1284.5999999999999</v>
      </c>
    </row>
    <row r="126" spans="1:17">
      <c r="A126" s="66"/>
      <c r="B126" s="72"/>
      <c r="C126" s="72"/>
      <c r="D126" s="72"/>
      <c r="E126" s="75"/>
      <c r="F126" s="78"/>
      <c r="G126" s="22" t="s">
        <v>241</v>
      </c>
      <c r="H126" s="11"/>
      <c r="I126" s="11"/>
      <c r="J126" s="11"/>
      <c r="K126" s="10"/>
      <c r="L126" s="11"/>
      <c r="M126" s="19">
        <v>41.459000000000003</v>
      </c>
      <c r="N126" s="19">
        <f>48-14.897</f>
        <v>33.103000000000002</v>
      </c>
      <c r="O126" s="20">
        <v>21.716999999999999</v>
      </c>
      <c r="P126" s="20">
        <v>21.4</v>
      </c>
      <c r="Q126" s="20">
        <v>21.4</v>
      </c>
    </row>
    <row r="127" spans="1:17" ht="52.5" customHeight="1">
      <c r="A127" s="21" t="s">
        <v>181</v>
      </c>
      <c r="B127" s="21" t="s">
        <v>183</v>
      </c>
      <c r="C127" s="21" t="s">
        <v>12</v>
      </c>
      <c r="D127" s="57">
        <v>975</v>
      </c>
      <c r="E127" s="22" t="s">
        <v>22</v>
      </c>
      <c r="F127" s="23" t="s">
        <v>186</v>
      </c>
      <c r="G127" s="22" t="s">
        <v>185</v>
      </c>
      <c r="H127" s="11">
        <f>SUM(I127:O127)</f>
        <v>11614.652</v>
      </c>
      <c r="I127" s="11">
        <v>11614.652</v>
      </c>
      <c r="J127" s="11">
        <v>0</v>
      </c>
      <c r="K127" s="10">
        <v>0</v>
      </c>
      <c r="L127" s="11">
        <v>0</v>
      </c>
      <c r="M127" s="17">
        <v>0</v>
      </c>
      <c r="N127" s="17">
        <v>0</v>
      </c>
      <c r="O127" s="11">
        <v>0</v>
      </c>
      <c r="P127" s="11">
        <v>0</v>
      </c>
      <c r="Q127" s="11">
        <v>0</v>
      </c>
    </row>
  </sheetData>
  <mergeCells count="47">
    <mergeCell ref="M1:Q1"/>
    <mergeCell ref="M2:Q2"/>
    <mergeCell ref="L3:Q3"/>
    <mergeCell ref="H7:Q7"/>
    <mergeCell ref="A5:Q5"/>
    <mergeCell ref="A54:A55"/>
    <mergeCell ref="D7:G7"/>
    <mergeCell ref="B20:C20"/>
    <mergeCell ref="B11:C11"/>
    <mergeCell ref="A17:A18"/>
    <mergeCell ref="A47:A52"/>
    <mergeCell ref="C7:C8"/>
    <mergeCell ref="A7:A8"/>
    <mergeCell ref="B7:B8"/>
    <mergeCell ref="A24:A25"/>
    <mergeCell ref="A12:A16"/>
    <mergeCell ref="A39:A44"/>
    <mergeCell ref="A22:A23"/>
    <mergeCell ref="A30:A33"/>
    <mergeCell ref="B26:C26"/>
    <mergeCell ref="A123:A126"/>
    <mergeCell ref="D123:D126"/>
    <mergeCell ref="E123:E126"/>
    <mergeCell ref="F123:F126"/>
    <mergeCell ref="C123:C126"/>
    <mergeCell ref="B123:B126"/>
    <mergeCell ref="B102:C102"/>
    <mergeCell ref="B98:C98"/>
    <mergeCell ref="A105:A107"/>
    <mergeCell ref="A94:A97"/>
    <mergeCell ref="A90:A92"/>
    <mergeCell ref="B93:C93"/>
    <mergeCell ref="B122:C122"/>
    <mergeCell ref="A103:A104"/>
    <mergeCell ref="B111:C111"/>
    <mergeCell ref="B117:C117"/>
    <mergeCell ref="B119:C119"/>
    <mergeCell ref="A112:A114"/>
    <mergeCell ref="B89:C89"/>
    <mergeCell ref="A71:A72"/>
    <mergeCell ref="B83:C83"/>
    <mergeCell ref="B64:C64"/>
    <mergeCell ref="A65:A67"/>
    <mergeCell ref="B68:C68"/>
    <mergeCell ref="B77:C77"/>
    <mergeCell ref="B79:C79"/>
    <mergeCell ref="B86:C86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2020-10-15T07:20:46Z</dcterms:modified>
</cp:coreProperties>
</file>