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definedNames>
    <definedName name="_xlnm.Print_Area" localSheetId="0">Лист1!$A$1:$I$300</definedName>
  </definedNames>
  <calcPr calcId="152511"/>
</workbook>
</file>

<file path=xl/calcChain.xml><?xml version="1.0" encoding="utf-8"?>
<calcChain xmlns="http://schemas.openxmlformats.org/spreadsheetml/2006/main">
  <c r="F179" i="1" l="1"/>
  <c r="F300" i="1" l="1"/>
  <c r="F221" i="1"/>
  <c r="F94" i="1"/>
  <c r="H113" i="1" l="1"/>
  <c r="H112" i="1"/>
  <c r="G113" i="1"/>
  <c r="G112" i="1"/>
  <c r="F113" i="1"/>
  <c r="F112" i="1"/>
  <c r="F19" i="1" l="1"/>
  <c r="F278" i="1"/>
  <c r="F190" i="1" l="1"/>
  <c r="G190" i="1"/>
  <c r="H190" i="1"/>
  <c r="F191" i="1"/>
  <c r="G191" i="1"/>
  <c r="H191" i="1"/>
  <c r="F192" i="1"/>
  <c r="G192" i="1"/>
  <c r="H192" i="1"/>
  <c r="E192" i="1"/>
  <c r="E191" i="1"/>
  <c r="E190" i="1"/>
  <c r="I254" i="1"/>
  <c r="H254" i="1"/>
  <c r="G254" i="1"/>
  <c r="F254" i="1"/>
  <c r="E254" i="1"/>
  <c r="F135" i="1" l="1"/>
  <c r="F60" i="1"/>
  <c r="F134" i="1"/>
  <c r="F59" i="1"/>
  <c r="F225" i="1"/>
  <c r="F106" i="1"/>
  <c r="F224" i="1"/>
  <c r="F105" i="1"/>
  <c r="F97" i="1"/>
  <c r="F22" i="1"/>
  <c r="F87" i="1" l="1"/>
  <c r="G87" i="1"/>
  <c r="H87" i="1"/>
  <c r="E87" i="1"/>
  <c r="I176" i="1"/>
  <c r="H176" i="1"/>
  <c r="G176" i="1"/>
  <c r="F176" i="1"/>
  <c r="E176" i="1"/>
  <c r="F127" i="1"/>
  <c r="F119" i="1"/>
  <c r="F56" i="1"/>
  <c r="F36" i="1"/>
  <c r="I246" i="1" l="1"/>
  <c r="H246" i="1"/>
  <c r="G246" i="1"/>
  <c r="F246" i="1"/>
  <c r="E246" i="1"/>
  <c r="F274" i="1" l="1"/>
  <c r="F273" i="1"/>
  <c r="I124" i="1" l="1"/>
  <c r="H124" i="1"/>
  <c r="G124" i="1"/>
  <c r="F124" i="1"/>
  <c r="E124" i="1"/>
  <c r="E106" i="1" l="1"/>
  <c r="E109" i="1" l="1"/>
  <c r="E30" i="1"/>
  <c r="H293" i="1" l="1"/>
  <c r="H294" i="1"/>
  <c r="H295" i="1"/>
  <c r="H259" i="1"/>
  <c r="F269" i="1"/>
  <c r="G269" i="1"/>
  <c r="H269" i="1"/>
  <c r="H260" i="1" s="1"/>
  <c r="F270" i="1"/>
  <c r="G270" i="1"/>
  <c r="H270" i="1"/>
  <c r="H261" i="1" s="1"/>
  <c r="E216" i="1"/>
  <c r="E221" i="1"/>
  <c r="F158" i="1"/>
  <c r="F88" i="1" s="1"/>
  <c r="F159" i="1"/>
  <c r="F89" i="1" s="1"/>
  <c r="H135" i="1"/>
  <c r="H89" i="1" s="1"/>
  <c r="H134" i="1"/>
  <c r="H88" i="1" s="1"/>
  <c r="G135" i="1"/>
  <c r="G89" i="1" s="1"/>
  <c r="G134" i="1"/>
  <c r="G88" i="1" s="1"/>
  <c r="E135" i="1"/>
  <c r="E134" i="1"/>
  <c r="F12" i="1" l="1"/>
  <c r="G12" i="1"/>
  <c r="H12" i="1"/>
  <c r="H8" i="1" s="1"/>
  <c r="F13" i="1"/>
  <c r="G13" i="1"/>
  <c r="H13" i="1"/>
  <c r="H9" i="1" s="1"/>
  <c r="F14" i="1"/>
  <c r="G14" i="1"/>
  <c r="H14" i="1"/>
  <c r="H10" i="1" s="1"/>
  <c r="E12" i="1"/>
  <c r="I33" i="1"/>
  <c r="H33" i="1"/>
  <c r="G33" i="1"/>
  <c r="F33" i="1"/>
  <c r="E33" i="1"/>
  <c r="E97" i="1"/>
  <c r="E22" i="1"/>
  <c r="E266" i="1"/>
  <c r="E94" i="1"/>
  <c r="E19" i="1"/>
  <c r="E105" i="1" l="1"/>
  <c r="E26" i="1"/>
  <c r="E13" i="1" s="1"/>
  <c r="E27" i="1" l="1"/>
  <c r="E278" i="1"/>
  <c r="E119" i="1"/>
  <c r="E300" i="1" l="1"/>
  <c r="E60" i="1" l="1"/>
  <c r="E44" i="1"/>
  <c r="E14" i="1" s="1"/>
  <c r="E274" i="1" l="1"/>
  <c r="E273" i="1"/>
  <c r="E167" i="1" l="1"/>
  <c r="E159" i="1" s="1"/>
  <c r="E89" i="1" s="1"/>
  <c r="E158" i="1"/>
  <c r="E88" i="1" s="1"/>
  <c r="F259" i="1" l="1"/>
  <c r="G259" i="1"/>
  <c r="E259" i="1"/>
  <c r="F260" i="1"/>
  <c r="G260" i="1"/>
  <c r="F261" i="1"/>
  <c r="G261" i="1"/>
  <c r="E270" i="1"/>
  <c r="E261" i="1" s="1"/>
  <c r="E269" i="1"/>
  <c r="E260" i="1" s="1"/>
  <c r="I271" i="1"/>
  <c r="H271" i="1"/>
  <c r="G271" i="1"/>
  <c r="F271" i="1"/>
  <c r="E271" i="1"/>
  <c r="I263" i="1"/>
  <c r="H263" i="1"/>
  <c r="G263" i="1"/>
  <c r="F263" i="1"/>
  <c r="E263" i="1"/>
  <c r="I198" i="1"/>
  <c r="H198" i="1"/>
  <c r="G198" i="1"/>
  <c r="F198" i="1"/>
  <c r="E198" i="1"/>
  <c r="I164" i="1"/>
  <c r="H164" i="1"/>
  <c r="G164" i="1"/>
  <c r="F164" i="1"/>
  <c r="E164" i="1"/>
  <c r="I160" i="1"/>
  <c r="H160" i="1"/>
  <c r="G160" i="1"/>
  <c r="F160" i="1"/>
  <c r="E160" i="1"/>
  <c r="I250" i="1" l="1"/>
  <c r="H250" i="1"/>
  <c r="G250" i="1"/>
  <c r="F250" i="1"/>
  <c r="E250" i="1"/>
  <c r="F280" i="1"/>
  <c r="G280" i="1"/>
  <c r="F281" i="1"/>
  <c r="G281" i="1"/>
  <c r="F282" i="1"/>
  <c r="G282" i="1"/>
  <c r="E281" i="1"/>
  <c r="E282" i="1"/>
  <c r="E280" i="1"/>
  <c r="F293" i="1"/>
  <c r="G293" i="1"/>
  <c r="F294" i="1"/>
  <c r="G294" i="1"/>
  <c r="F295" i="1"/>
  <c r="G295" i="1"/>
  <c r="E295" i="1"/>
  <c r="E294" i="1"/>
  <c r="E293" i="1"/>
  <c r="I297" i="1"/>
  <c r="H297" i="1"/>
  <c r="G297" i="1"/>
  <c r="F297" i="1"/>
  <c r="E297" i="1"/>
  <c r="I292" i="1"/>
  <c r="H292" i="1"/>
  <c r="I288" i="1"/>
  <c r="H288" i="1"/>
  <c r="G288" i="1"/>
  <c r="F288" i="1"/>
  <c r="E288" i="1"/>
  <c r="I284" i="1"/>
  <c r="H284" i="1"/>
  <c r="G284" i="1"/>
  <c r="F284" i="1"/>
  <c r="E284" i="1"/>
  <c r="G292" i="1" l="1"/>
  <c r="F292" i="1"/>
  <c r="E292" i="1"/>
  <c r="E279" i="1"/>
  <c r="F279" i="1"/>
  <c r="I279" i="1"/>
  <c r="H279" i="1"/>
  <c r="G279" i="1"/>
  <c r="I242" i="1"/>
  <c r="H242" i="1"/>
  <c r="G242" i="1"/>
  <c r="F242" i="1"/>
  <c r="E242" i="1"/>
  <c r="I238" i="1"/>
  <c r="H238" i="1"/>
  <c r="G238" i="1"/>
  <c r="F238" i="1"/>
  <c r="E238" i="1"/>
  <c r="I234" i="1"/>
  <c r="H234" i="1"/>
  <c r="G234" i="1"/>
  <c r="F234" i="1"/>
  <c r="E234" i="1"/>
  <c r="I230" i="1"/>
  <c r="H230" i="1"/>
  <c r="G230" i="1"/>
  <c r="F230" i="1"/>
  <c r="E230" i="1"/>
  <c r="I226" i="1"/>
  <c r="H226" i="1"/>
  <c r="G226" i="1"/>
  <c r="F226" i="1"/>
  <c r="E226" i="1"/>
  <c r="I222" i="1"/>
  <c r="H222" i="1"/>
  <c r="G222" i="1"/>
  <c r="F222" i="1"/>
  <c r="E222" i="1"/>
  <c r="I218" i="1"/>
  <c r="H218" i="1"/>
  <c r="G218" i="1"/>
  <c r="F218" i="1"/>
  <c r="E218" i="1"/>
  <c r="I213" i="1"/>
  <c r="H213" i="1"/>
  <c r="G213" i="1"/>
  <c r="F213" i="1"/>
  <c r="E213" i="1"/>
  <c r="I208" i="1"/>
  <c r="H208" i="1"/>
  <c r="G208" i="1"/>
  <c r="F208" i="1"/>
  <c r="E208" i="1"/>
  <c r="I203" i="1"/>
  <c r="H203" i="1"/>
  <c r="G203" i="1"/>
  <c r="F203" i="1"/>
  <c r="E203" i="1"/>
  <c r="I275" i="1" l="1"/>
  <c r="H275" i="1"/>
  <c r="G275" i="1"/>
  <c r="F275" i="1"/>
  <c r="E275" i="1"/>
  <c r="I267" i="1"/>
  <c r="H267" i="1"/>
  <c r="G267" i="1"/>
  <c r="F267" i="1"/>
  <c r="E267" i="1"/>
  <c r="I258" i="1"/>
  <c r="H258" i="1"/>
  <c r="G258" i="1" l="1"/>
  <c r="E258" i="1"/>
  <c r="F258" i="1"/>
  <c r="I194" i="1"/>
  <c r="H194" i="1"/>
  <c r="G194" i="1"/>
  <c r="F194" i="1"/>
  <c r="E194" i="1"/>
  <c r="F189" i="1"/>
  <c r="I189" i="1"/>
  <c r="H189" i="1"/>
  <c r="G189" i="1"/>
  <c r="E189" i="1"/>
  <c r="I156" i="1"/>
  <c r="H156" i="1"/>
  <c r="G156" i="1"/>
  <c r="F156" i="1"/>
  <c r="E156" i="1"/>
  <c r="I152" i="1"/>
  <c r="H152" i="1"/>
  <c r="G152" i="1"/>
  <c r="F152" i="1"/>
  <c r="E152" i="1"/>
  <c r="I148" i="1"/>
  <c r="H148" i="1"/>
  <c r="G148" i="1"/>
  <c r="F148" i="1"/>
  <c r="E148" i="1"/>
  <c r="I144" i="1"/>
  <c r="H144" i="1"/>
  <c r="G144" i="1"/>
  <c r="F144" i="1"/>
  <c r="E144" i="1"/>
  <c r="I111" i="1"/>
  <c r="H111" i="1"/>
  <c r="G111" i="1"/>
  <c r="F111" i="1"/>
  <c r="E111" i="1"/>
  <c r="I99" i="1"/>
  <c r="H99" i="1"/>
  <c r="G99" i="1"/>
  <c r="F99" i="1"/>
  <c r="E99" i="1"/>
  <c r="I185" i="1"/>
  <c r="H185" i="1"/>
  <c r="G185" i="1"/>
  <c r="F185" i="1"/>
  <c r="E185" i="1"/>
  <c r="I181" i="1"/>
  <c r="H181" i="1"/>
  <c r="G181" i="1"/>
  <c r="F181" i="1"/>
  <c r="E181" i="1"/>
  <c r="I172" i="1"/>
  <c r="H172" i="1"/>
  <c r="G172" i="1"/>
  <c r="F172" i="1"/>
  <c r="E172" i="1"/>
  <c r="I168" i="1"/>
  <c r="H168" i="1"/>
  <c r="G168" i="1"/>
  <c r="F168" i="1"/>
  <c r="E168" i="1"/>
  <c r="I140" i="1"/>
  <c r="H140" i="1"/>
  <c r="G140" i="1"/>
  <c r="F140" i="1"/>
  <c r="E140" i="1"/>
  <c r="I136" i="1"/>
  <c r="H136" i="1"/>
  <c r="G136" i="1"/>
  <c r="F136" i="1"/>
  <c r="E136" i="1"/>
  <c r="I132" i="1"/>
  <c r="H132" i="1"/>
  <c r="G132" i="1"/>
  <c r="F132" i="1"/>
  <c r="E132" i="1"/>
  <c r="I128" i="1"/>
  <c r="H128" i="1"/>
  <c r="G128" i="1"/>
  <c r="F128" i="1"/>
  <c r="E128" i="1"/>
  <c r="I120" i="1"/>
  <c r="H120" i="1"/>
  <c r="G120" i="1"/>
  <c r="F120" i="1"/>
  <c r="E120" i="1"/>
  <c r="I116" i="1"/>
  <c r="H116" i="1"/>
  <c r="G116" i="1"/>
  <c r="F116" i="1"/>
  <c r="E116" i="1"/>
  <c r="I107" i="1"/>
  <c r="H107" i="1"/>
  <c r="G107" i="1"/>
  <c r="F107" i="1"/>
  <c r="E107" i="1"/>
  <c r="I103" i="1"/>
  <c r="H103" i="1"/>
  <c r="G103" i="1"/>
  <c r="F103" i="1"/>
  <c r="E103" i="1"/>
  <c r="I95" i="1"/>
  <c r="H95" i="1"/>
  <c r="G95" i="1"/>
  <c r="F95" i="1"/>
  <c r="E95" i="1"/>
  <c r="I91" i="1"/>
  <c r="H91" i="1"/>
  <c r="G91" i="1"/>
  <c r="F91" i="1"/>
  <c r="E91" i="1"/>
  <c r="I86" i="1"/>
  <c r="H86" i="1"/>
  <c r="G86" i="1" l="1"/>
  <c r="F86" i="1"/>
  <c r="E86" i="1"/>
  <c r="H7" i="1"/>
  <c r="I7" i="1"/>
  <c r="F8" i="1" l="1"/>
  <c r="G8" i="1"/>
  <c r="F9" i="1"/>
  <c r="G9" i="1"/>
  <c r="F10" i="1"/>
  <c r="G10" i="1"/>
  <c r="E10" i="1"/>
  <c r="E9" i="1"/>
  <c r="E8" i="1"/>
  <c r="H11" i="1"/>
  <c r="I11" i="1"/>
  <c r="I82" i="1"/>
  <c r="H82" i="1"/>
  <c r="G82" i="1"/>
  <c r="F82" i="1"/>
  <c r="E82" i="1"/>
  <c r="I78" i="1"/>
  <c r="H78" i="1"/>
  <c r="G78" i="1"/>
  <c r="F78" i="1"/>
  <c r="E78" i="1"/>
  <c r="I73" i="1"/>
  <c r="H73" i="1"/>
  <c r="G73" i="1"/>
  <c r="F73" i="1"/>
  <c r="E73" i="1"/>
  <c r="I69" i="1"/>
  <c r="H69" i="1"/>
  <c r="G69" i="1"/>
  <c r="F69" i="1"/>
  <c r="E69" i="1"/>
  <c r="I65" i="1"/>
  <c r="H65" i="1"/>
  <c r="G65" i="1"/>
  <c r="F65" i="1"/>
  <c r="E65" i="1"/>
  <c r="I61" i="1"/>
  <c r="H61" i="1"/>
  <c r="G61" i="1"/>
  <c r="F61" i="1"/>
  <c r="E61" i="1"/>
  <c r="I57" i="1"/>
  <c r="H57" i="1"/>
  <c r="G57" i="1"/>
  <c r="F57" i="1"/>
  <c r="E57" i="1"/>
  <c r="I53" i="1"/>
  <c r="H53" i="1"/>
  <c r="G53" i="1"/>
  <c r="F53" i="1"/>
  <c r="E53" i="1"/>
  <c r="I49" i="1"/>
  <c r="H49" i="1"/>
  <c r="G49" i="1"/>
  <c r="F49" i="1"/>
  <c r="E49" i="1"/>
  <c r="I45" i="1"/>
  <c r="H45" i="1"/>
  <c r="G45" i="1"/>
  <c r="F45" i="1"/>
  <c r="E45" i="1"/>
  <c r="I41" i="1"/>
  <c r="H41" i="1"/>
  <c r="G41" i="1"/>
  <c r="F41" i="1"/>
  <c r="E41" i="1"/>
  <c r="I37" i="1"/>
  <c r="H37" i="1"/>
  <c r="G37" i="1"/>
  <c r="F37" i="1"/>
  <c r="E37" i="1"/>
  <c r="E7" i="1" l="1"/>
  <c r="F7" i="1"/>
  <c r="G7" i="1"/>
  <c r="F11" i="1"/>
  <c r="E11" i="1"/>
  <c r="G11" i="1"/>
  <c r="I28" i="1"/>
  <c r="H28" i="1"/>
  <c r="G28" i="1"/>
  <c r="F28" i="1"/>
  <c r="E28" i="1"/>
  <c r="I24" i="1"/>
  <c r="H24" i="1"/>
  <c r="G24" i="1"/>
  <c r="F24" i="1"/>
  <c r="E24" i="1"/>
  <c r="I20" i="1"/>
  <c r="H20" i="1"/>
  <c r="G20" i="1"/>
  <c r="F20" i="1"/>
  <c r="E20" i="1"/>
  <c r="F16" i="1"/>
  <c r="G16" i="1"/>
  <c r="H16" i="1"/>
  <c r="I16" i="1"/>
  <c r="E16" i="1"/>
</calcChain>
</file>

<file path=xl/sharedStrings.xml><?xml version="1.0" encoding="utf-8"?>
<sst xmlns="http://schemas.openxmlformats.org/spreadsheetml/2006/main" count="451" uniqueCount="105">
  <si>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</si>
  <si>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</si>
  <si>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</si>
  <si>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</si>
  <si>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</si>
  <si>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</si>
  <si>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Источник финансирования</t>
  </si>
  <si>
    <t>федеральный бюджет</t>
  </si>
  <si>
    <t>Ресурсное обеспечение и прогнозная (справочная) оценка расходов средств на реализацию целей муниципальной программы «Развитие образования в Княжпогостском районе»</t>
  </si>
  <si>
    <t>Расходы (рублей)</t>
  </si>
  <si>
    <t>Всего</t>
  </si>
  <si>
    <t>республиканский бюджет</t>
  </si>
  <si>
    <t>муниципальный бюджет</t>
  </si>
  <si>
    <t>всего</t>
  </si>
  <si>
    <t>1.1.2. Реализация муниципальными дошкольными и общеобразовательными организациями в Республике Коми образовательных программ</t>
  </si>
  <si>
    <t>1.1.4.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</si>
  <si>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Задача 1.2 "Создание условий для повышения качества услуг дошкольного образования "</t>
  </si>
  <si>
    <t>Задача 1.3 "Создание условий для повышения эффективности системы дошкольного образования "</t>
  </si>
  <si>
    <t>1.3.1. Развитие кадровых ресурсов системы дошкольного образования (организация и проведение районного конкурса "Воспитатель года")</t>
  </si>
  <si>
    <t>Задача 1.1 "Обеспечение государственных гарантий доступности дошкольного образования"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</si>
  <si>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года»)</t>
  </si>
  <si>
    <t>Подпрограмма 2</t>
  </si>
  <si>
    <t>Развитие системы общего образования в Княжпогостском районе</t>
  </si>
  <si>
    <t>Задача 1.1 "Обеспечение государственных гарантий доступности общего образования"</t>
  </si>
  <si>
    <t>1.1.3. 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</si>
  <si>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1.1.5.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</si>
  <si>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Задача 1.2 "Создание условий для повышения качества услуг общего образования "</t>
  </si>
  <si>
    <t>1.2.1. Предоставление доступа к сети Интернет</t>
  </si>
  <si>
    <t>1.2.2. Укрепление материально-технической базы в общеобразовательных организациях</t>
  </si>
  <si>
    <t>1.2.12. Исполнение судебных решений</t>
  </si>
  <si>
    <t>1.2.13. Реализация отдельных мероприятий регионального проекта «Современная школа»</t>
  </si>
  <si>
    <t>Задача 1.3 "Создание условий для повышения эффективности системы общего образования "</t>
  </si>
  <si>
    <t>1.3.1. Развитие кадровых ресурсов системы общего образования (организация и проведение районных конкурсов: «Учитель года», конкурса классных руководителей, Дня учителя)</t>
  </si>
  <si>
    <t>1.3.2. Развитие инновационного потенциала педагогов общеобразовательных организаций (организация и проведение районного конкурса «Школа года», районной конференции педагогов «Путь к мастерству»)</t>
  </si>
  <si>
    <t>Подпрограмма 3</t>
  </si>
  <si>
    <t>Дети и молодежь Княжпогостского района</t>
  </si>
  <si>
    <t>Подпрограмма 4</t>
  </si>
  <si>
    <t>Организация отдыха и оздоровления детей в Княжпогостском районе</t>
  </si>
  <si>
    <t>Задача 1.1 "Организация отдыха и оздоровления детей Княжпогостского района"</t>
  </si>
  <si>
    <t>Задача 1.1 «Содействие молодым людям в проявлении своей активности в общественной жизни и освоении навыков самоорганизации, воспитание у молодежи чувства патриотизма и гражданской ответственности»</t>
  </si>
  <si>
    <t>Задача 1.2 «Формирование здорового образа жизни»</t>
  </si>
  <si>
    <t>Задача 1.3 «Выявление и поддержка талантливой молодежи»</t>
  </si>
  <si>
    <t>1.3.1. Выявление и поддержка одаренных детей и молодежи</t>
  </si>
  <si>
    <t>Задача 1.4 «Поддержка молодых семей»</t>
  </si>
  <si>
    <t>1.4.1.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</si>
  <si>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Задача 1.5 «Повышение качества дополнительного образования»</t>
  </si>
  <si>
    <t>1.5.1. Выполнение планового объёма оказываемых услуг, установленного муниципальным заданием</t>
  </si>
  <si>
    <t>1.5.3. Проведение капитальных ремонтов в организациях дополнительного образования детей</t>
  </si>
  <si>
    <t>1.5.4. Проведение текущих ремонтов в организациях дополнительного образования детей</t>
  </si>
  <si>
    <t>1.5.5. Выполнение противопожарных мероприятий в организациях дополнительного образования</t>
  </si>
  <si>
    <t>Подпрограмма 5</t>
  </si>
  <si>
    <t>Допризывная подготовка граждан Российской Федерации в Княжпогостском районе к военной службе</t>
  </si>
  <si>
    <t>Задача 1.1 «Получение гражданами Российской Федерации начальных знаний в области обороны и подготовка по основам военной службы в образовательных организациях Княжпогостского района»</t>
  </si>
  <si>
    <t>1.1.3. Организация оздоровления и отдыха детей на базе выездных оздоровительных лагерей</t>
  </si>
  <si>
    <t>1.1.1. Военно-патриотическое воспитание молодёжи допризывного возраста</t>
  </si>
  <si>
    <t>1.1.2. 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</si>
  <si>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</si>
  <si>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 «Развитие образования в Княжпогостском районе</t>
  </si>
  <si>
    <t>Задача 1.1 «Обеспечение управления реализацией мероприятий Программы на муниципальном уровне»</t>
  </si>
  <si>
    <t>1.1.1. Обеспечение управления реализацией мероприятий Программы на муниципальном уровне</t>
  </si>
  <si>
    <t>1.1.1. Выполнение планового объема оказываемых услуг, установленного муниципальным заданием</t>
  </si>
  <si>
    <t>1.1.1. Проведение районных мероприятий</t>
  </si>
  <si>
    <t>1.2.1. Пропаганда здорового образа жизни</t>
  </si>
  <si>
    <t xml:space="preserve">1.1.6. Организация бесплатного горячего питания обучающихся, получающих начальное общее образование в муниципальных образовательных организациях </t>
  </si>
  <si>
    <t>1.1.2. Профилактика экстремизма и терроризма, предупреждения межнациональных (межэтнических) конфликтов у несовершеннолетних</t>
  </si>
  <si>
    <t>1.1.1. Обеспечение деятельности лагерей с дневным пребыванием</t>
  </si>
  <si>
    <t>2.1</t>
  </si>
  <si>
    <t>1.1.2. Мероприятия по проведению оздоровительной кампании детей</t>
  </si>
  <si>
    <t>1.1.2.1. Осуществление процесса оздоровления и отдыха детей</t>
  </si>
  <si>
    <t>Таблица 3</t>
  </si>
  <si>
    <t>1.5.6. Укрепление материально- технической базы в организациях дополнительного образования</t>
  </si>
  <si>
    <t>1.5.7. Укрепление материально- технической базы и создание безопасных условий в организациях дополнительного образования</t>
  </si>
  <si>
    <t>Ответственные исполнители, соисполнители</t>
  </si>
  <si>
    <t>управление образования АМР "Княжпогостский"</t>
  </si>
  <si>
    <t>1.1.3. Обеспечение повышения оплаты труда отдельных категорий работников в сфере образования</t>
  </si>
  <si>
    <t>1.1.4. Мероприятия, связанные с повышением оплаты труда отдельных категорий работников в сфере образования</t>
  </si>
  <si>
    <t>1.5.2. Мероприятия, связанные с повышением оплаты труда отдельных категорий работников в сфере образования</t>
  </si>
  <si>
    <t>1.2.1. Мероприятия по благоустройству территорий образовательных учреждений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</si>
  <si>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1.2.2. Проведение капитальных ремонтов в дошкольных образовательных организациях</t>
  </si>
  <si>
    <t>1.2.3. Проведение текущих ремонтов в дошкольных образовательных организациях</t>
  </si>
  <si>
    <t>1.2.4. Проведение текущих ремонтов в дошкольных образовательных организациях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</si>
  <si>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1.2.5. Выполнение противопожарных мероприятий в дошкольных образовательных организациях</t>
  </si>
  <si>
    <t>1.2.6. Укрепление материально-технической базы в дошкольных образовательных организациях</t>
  </si>
  <si>
    <t>1.2.7. Укрепление материально-технической базы и создание безопасных условий в организациях в сфере образования в Республике Коми</t>
  </si>
  <si>
    <t>1.2.8. Предоставление доступа к сети Интернет в дошкольных образовательных организациях</t>
  </si>
  <si>
    <t>1.2.9. Исполнение штрафных санкций надзорных и контролирующих органов в дошкольных организациях в дошкольных образовательных организациях</t>
  </si>
  <si>
    <t>1.2.10. Исполнение судебных решений в дошкольных образовательных организациях</t>
  </si>
  <si>
    <t>1.2.11. Реализация народных проектов в сфере образования, прошедших отбор в рамках проекта "Народный бюджет"</t>
  </si>
  <si>
    <t>17.1</t>
  </si>
  <si>
    <t>17.2</t>
  </si>
  <si>
    <t>1.2.3. 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самоуправления, а также на развитие народных инициатив</t>
  </si>
  <si>
    <t>1.2.4. Укрепление материально-технической базы организаций в сфере образования в Республике Коми</t>
  </si>
  <si>
    <t>1.2.5. Укрепление материально-технической базы и создание безопасных условий в организациях в сфере образования в Республике Коми</t>
  </si>
  <si>
    <t>1.2.6. Проведение капитальных ремонтов в общеобразовательных организациях</t>
  </si>
  <si>
    <t>1.2.7. Выполнение противопожарных мероприятий в общеобразовательных организациях</t>
  </si>
  <si>
    <t>1.2.8. Проведение текущих ремонтов в общеобразовательных организациях</t>
  </si>
  <si>
    <t>1.2.9. Развитие системы оценки качества образования (проведение районных олимпиад, проведение ГИА и ЕГЭ)</t>
  </si>
  <si>
    <t>1.2.10. Исполнение штрафных санкций надзорных и контролирующих органов в общеобразовательных организациях</t>
  </si>
  <si>
    <t>1.2.11. Реализация народных проектов в сфере образования, прошедших отбор в рамках проекта «Народный бюджет»</t>
  </si>
  <si>
    <t>1.2.11.1. Укрепление материально-технической базы организаций в сфере образования в Республике Коми</t>
  </si>
  <si>
    <t>1.2.11.2. Осуществление деятельности организациями в сфере образования</t>
  </si>
  <si>
    <t>1.5.9. Реализация народных проектов в сфере образования, прошедших отбор в рамках проекта "Народный бюджет"</t>
  </si>
  <si>
    <t>1.5.8. Проведение текущих ремонтов в рамках выполнения расходных обязательств на развитие народных инициатив</t>
  </si>
  <si>
    <t>1.2.14. Проведение ликвидационных мероприятий</t>
  </si>
  <si>
    <t>1.5.10. Реализация мероприятий, направленных на исполнение наказов избирателей, рекомендуемых к выполнению в 2022 году (проведение текущих ремонтов)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</si>
</sst>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2" fillId="0" borderId="5" xfId="0" applyFont="1" applyBorder="1"/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5" xfId="0" applyFont="1" applyFill="1" applyBorder="1"/>
    <xf numFmtId="0" fontId="2" fillId="2" borderId="5" xfId="0" applyFont="1" applyFill="1" applyBorder="1" applyAlignment="1">
      <alignment horizontal="right" vertical="top" wrapText="1"/>
    </xf>
    <xf numFmtId="0" fontId="1" fillId="2" borderId="0" xfId="0" applyFont="1" applyFill="1"/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0" fontId="7" fillId="0" borderId="0" xfId="0" applyFont="1"/>
    <xf numFmtId="4" fontId="1" fillId="0" borderId="0" xfId="0" applyNumberFormat="1" applyFont="1"/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1" fillId="2" borderId="0" xfId="0" applyNumberFormat="1" applyFont="1" applyFill="1"/>
    <xf numFmtId="0" fontId="9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3" fillId="0" borderId="0" xfId="0" applyNumberFormat="1" applyFont="1"/>
    <xf numFmtId="0" fontId="2" fillId="0" borderId="0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0"/>
  <sheetViews>
    <sheetView tabSelected="1" zoomScaleNormal="100" workbookViewId="0">
      <selection activeCell="F7" sqref="F7"/>
    </sheetView>
  </sheetViews>
  <sheetFormatPr defaultColWidth="8.88671875" defaultRowHeight="13.8" x14ac:dyDescent="0.25"/>
  <cols>
    <col min="1" max="1" width="15.6640625" style="1" customWidth="1"/>
    <col min="2" max="2" width="32.6640625" style="1" customWidth="1"/>
    <col min="3" max="3" width="20.6640625" style="1" customWidth="1"/>
    <col min="4" max="4" width="26.6640625" style="1" customWidth="1"/>
    <col min="5" max="5" width="16" style="1" customWidth="1"/>
    <col min="6" max="6" width="15.6640625" style="1" customWidth="1"/>
    <col min="7" max="7" width="16.109375" style="8" customWidth="1"/>
    <col min="8" max="9" width="15.109375" style="8" customWidth="1"/>
    <col min="10" max="10" width="8.88671875" style="1"/>
    <col min="11" max="12" width="14.44140625" style="1" bestFit="1" customWidth="1"/>
    <col min="13" max="16384" width="8.88671875" style="1"/>
  </cols>
  <sheetData>
    <row r="1" spans="1:12" x14ac:dyDescent="0.25">
      <c r="E1" s="35"/>
      <c r="F1" s="31"/>
      <c r="G1" s="31"/>
      <c r="H1" s="31"/>
      <c r="I1" s="35" t="s">
        <v>69</v>
      </c>
    </row>
    <row r="2" spans="1:12" x14ac:dyDescent="0.25">
      <c r="E2" s="35"/>
      <c r="F2" s="47"/>
      <c r="G2" s="80"/>
      <c r="H2" s="80"/>
      <c r="I2" s="80"/>
    </row>
    <row r="3" spans="1:12" ht="31.2" customHeight="1" x14ac:dyDescent="0.3">
      <c r="A3" s="81" t="s">
        <v>8</v>
      </c>
      <c r="B3" s="81"/>
      <c r="C3" s="81"/>
      <c r="D3" s="81"/>
      <c r="E3" s="81"/>
      <c r="F3" s="81"/>
      <c r="G3" s="81"/>
      <c r="H3" s="81"/>
      <c r="I3" s="81"/>
    </row>
    <row r="4" spans="1:12" x14ac:dyDescent="0.25">
      <c r="A4" s="6"/>
      <c r="B4" s="6"/>
      <c r="C4" s="6"/>
      <c r="D4" s="6"/>
      <c r="E4" s="6"/>
      <c r="F4" s="6"/>
      <c r="G4" s="9"/>
      <c r="H4" s="10"/>
      <c r="I4" s="10"/>
    </row>
    <row r="5" spans="1:12" s="2" customFormat="1" ht="19.95" customHeight="1" x14ac:dyDescent="0.3">
      <c r="A5" s="86" t="s">
        <v>0</v>
      </c>
      <c r="B5" s="86" t="s">
        <v>1</v>
      </c>
      <c r="C5" s="86" t="s">
        <v>72</v>
      </c>
      <c r="D5" s="86" t="s">
        <v>6</v>
      </c>
      <c r="E5" s="82" t="s">
        <v>9</v>
      </c>
      <c r="F5" s="82"/>
      <c r="G5" s="82"/>
      <c r="H5" s="82"/>
      <c r="I5" s="82"/>
    </row>
    <row r="6" spans="1:12" s="2" customFormat="1" ht="19.95" customHeight="1" x14ac:dyDescent="0.3">
      <c r="A6" s="87"/>
      <c r="B6" s="87"/>
      <c r="C6" s="87"/>
      <c r="D6" s="87"/>
      <c r="E6" s="3">
        <v>2021</v>
      </c>
      <c r="F6" s="3">
        <v>2022</v>
      </c>
      <c r="G6" s="7">
        <v>2023</v>
      </c>
      <c r="H6" s="7">
        <v>2024</v>
      </c>
      <c r="I6" s="7">
        <v>2025</v>
      </c>
    </row>
    <row r="7" spans="1:12" s="4" customFormat="1" ht="13.95" customHeight="1" x14ac:dyDescent="0.25">
      <c r="A7" s="83" t="s">
        <v>2</v>
      </c>
      <c r="B7" s="83" t="s">
        <v>3</v>
      </c>
      <c r="C7" s="54" t="s">
        <v>73</v>
      </c>
      <c r="D7" s="12" t="s">
        <v>10</v>
      </c>
      <c r="E7" s="13">
        <f>SUM(E8:E10)</f>
        <v>439421159.1400001</v>
      </c>
      <c r="F7" s="13">
        <f t="shared" ref="F7:I7" si="0">SUM(F8:F10)</f>
        <v>447867320.97999996</v>
      </c>
      <c r="G7" s="13">
        <f t="shared" si="0"/>
        <v>399461135.33000004</v>
      </c>
      <c r="H7" s="13">
        <f t="shared" si="0"/>
        <v>401038038.36000001</v>
      </c>
      <c r="I7" s="13">
        <f t="shared" si="0"/>
        <v>0</v>
      </c>
      <c r="L7" s="46"/>
    </row>
    <row r="8" spans="1:12" s="4" customFormat="1" ht="15.6" x14ac:dyDescent="0.25">
      <c r="A8" s="84"/>
      <c r="B8" s="84"/>
      <c r="C8" s="55"/>
      <c r="D8" s="14" t="s">
        <v>7</v>
      </c>
      <c r="E8" s="15">
        <f t="shared" ref="E8:H10" si="1">E12+E87+E190+E259+E280+E293</f>
        <v>21667165.890000001</v>
      </c>
      <c r="F8" s="15">
        <f t="shared" si="1"/>
        <v>22403059.990000002</v>
      </c>
      <c r="G8" s="15">
        <f t="shared" si="1"/>
        <v>22074883.990000002</v>
      </c>
      <c r="H8" s="15">
        <f t="shared" si="1"/>
        <v>23603532.449999999</v>
      </c>
      <c r="I8" s="16"/>
    </row>
    <row r="9" spans="1:12" s="4" customFormat="1" ht="15.6" x14ac:dyDescent="0.25">
      <c r="A9" s="84"/>
      <c r="B9" s="84"/>
      <c r="C9" s="55"/>
      <c r="D9" s="14" t="s">
        <v>11</v>
      </c>
      <c r="E9" s="15">
        <f t="shared" si="1"/>
        <v>285457882.73000008</v>
      </c>
      <c r="F9" s="15">
        <f t="shared" si="1"/>
        <v>307870172.27999997</v>
      </c>
      <c r="G9" s="15">
        <f t="shared" si="1"/>
        <v>284847697.11000001</v>
      </c>
      <c r="H9" s="15">
        <f t="shared" si="1"/>
        <v>284856248.65000004</v>
      </c>
      <c r="I9" s="16"/>
    </row>
    <row r="10" spans="1:12" s="4" customFormat="1" ht="15.6" x14ac:dyDescent="0.25">
      <c r="A10" s="85"/>
      <c r="B10" s="85"/>
      <c r="C10" s="56"/>
      <c r="D10" s="14" t="s">
        <v>12</v>
      </c>
      <c r="E10" s="15">
        <f t="shared" si="1"/>
        <v>132296110.52000003</v>
      </c>
      <c r="F10" s="15">
        <f t="shared" si="1"/>
        <v>117594088.70999998</v>
      </c>
      <c r="G10" s="15">
        <f t="shared" si="1"/>
        <v>92538554.229999989</v>
      </c>
      <c r="H10" s="15">
        <f t="shared" si="1"/>
        <v>92578257.25999999</v>
      </c>
      <c r="I10" s="15"/>
    </row>
    <row r="11" spans="1:12" s="5" customFormat="1" ht="13.95" customHeight="1" x14ac:dyDescent="0.25">
      <c r="A11" s="65" t="s">
        <v>4</v>
      </c>
      <c r="B11" s="65" t="s">
        <v>5</v>
      </c>
      <c r="C11" s="54" t="s">
        <v>73</v>
      </c>
      <c r="D11" s="26" t="s">
        <v>10</v>
      </c>
      <c r="E11" s="27">
        <f>SUM(E12:E14)</f>
        <v>143721935.93000001</v>
      </c>
      <c r="F11" s="27">
        <f t="shared" ref="F11:I11" si="2">SUM(F12:F14)</f>
        <v>149513211.87</v>
      </c>
      <c r="G11" s="27">
        <f t="shared" si="2"/>
        <v>128163341.53</v>
      </c>
      <c r="H11" s="27">
        <f t="shared" si="2"/>
        <v>128163341.53</v>
      </c>
      <c r="I11" s="27">
        <f t="shared" si="2"/>
        <v>0</v>
      </c>
      <c r="L11" s="18"/>
    </row>
    <row r="12" spans="1:12" s="5" customFormat="1" x14ac:dyDescent="0.25">
      <c r="A12" s="66"/>
      <c r="B12" s="66"/>
      <c r="C12" s="55"/>
      <c r="D12" s="34" t="s">
        <v>7</v>
      </c>
      <c r="E12" s="28">
        <f>E17+E21+E25+E29+E38+E42+E46+E50+E54+E58+E62+E66+E70+E74+E79+E83+E34</f>
        <v>0</v>
      </c>
      <c r="F12" s="28">
        <f t="shared" ref="F12:H12" si="3">F17+F21+F25+F29+F38+F42+F46+F50+F54+F58+F62+F66+F70+F74+F79+F83+F34</f>
        <v>0</v>
      </c>
      <c r="G12" s="28">
        <f t="shared" si="3"/>
        <v>0</v>
      </c>
      <c r="H12" s="28">
        <f t="shared" si="3"/>
        <v>0</v>
      </c>
      <c r="I12" s="28"/>
    </row>
    <row r="13" spans="1:12" s="5" customFormat="1" x14ac:dyDescent="0.25">
      <c r="A13" s="66"/>
      <c r="B13" s="66"/>
      <c r="C13" s="55"/>
      <c r="D13" s="34" t="s">
        <v>11</v>
      </c>
      <c r="E13" s="28">
        <f>E18+E22+E26+E30+E39+E43+E47+E51+E55+E59+E63+E67+E71+E75+E80+E84+E35</f>
        <v>95626018.939999998</v>
      </c>
      <c r="F13" s="28">
        <f t="shared" ref="F13:H13" si="4">F18+F22+F26+F30+F39+F43+F47+F51+F55+F59+F63+F67+F71+F75+F80+F84+F35</f>
        <v>112344531.98</v>
      </c>
      <c r="G13" s="28">
        <f t="shared" si="4"/>
        <v>97760506</v>
      </c>
      <c r="H13" s="28">
        <f t="shared" si="4"/>
        <v>97760506</v>
      </c>
      <c r="I13" s="29"/>
    </row>
    <row r="14" spans="1:12" s="11" customFormat="1" x14ac:dyDescent="0.25">
      <c r="A14" s="67"/>
      <c r="B14" s="67"/>
      <c r="C14" s="56"/>
      <c r="D14" s="34" t="s">
        <v>12</v>
      </c>
      <c r="E14" s="29">
        <f>E19+E23+E27+E40+E31+E44+E48+E52+E56+E60+E64+E68+E72+E76+E81+E85+E36</f>
        <v>48095916.989999995</v>
      </c>
      <c r="F14" s="29">
        <f t="shared" ref="F14:H14" si="5">F19+F23+F27+F40+F31+F44+F48+F52+F56+F60+F64+F68+F72+F76+F81+F85+F36</f>
        <v>37168679.889999993</v>
      </c>
      <c r="G14" s="29">
        <f t="shared" si="5"/>
        <v>30402835.530000001</v>
      </c>
      <c r="H14" s="29">
        <f t="shared" si="5"/>
        <v>30402835.530000001</v>
      </c>
      <c r="I14" s="29"/>
      <c r="L14" s="25"/>
    </row>
    <row r="15" spans="1:12" s="11" customFormat="1" x14ac:dyDescent="0.25">
      <c r="A15" s="71" t="s">
        <v>19</v>
      </c>
      <c r="B15" s="72"/>
      <c r="C15" s="72"/>
      <c r="D15" s="72"/>
      <c r="E15" s="72"/>
      <c r="F15" s="72"/>
      <c r="G15" s="72"/>
      <c r="H15" s="72"/>
      <c r="I15" s="73"/>
    </row>
    <row r="16" spans="1:12" x14ac:dyDescent="0.25">
      <c r="A16" s="48">
        <v>1</v>
      </c>
      <c r="B16" s="57" t="s">
        <v>60</v>
      </c>
      <c r="C16" s="54" t="s">
        <v>73</v>
      </c>
      <c r="D16" s="19" t="s">
        <v>13</v>
      </c>
      <c r="E16" s="20">
        <f>SUM(E17:E19)</f>
        <v>47328029.269999996</v>
      </c>
      <c r="F16" s="20">
        <f t="shared" ref="F16:I16" si="6">SUM(F17:F19)</f>
        <v>36239860.329999998</v>
      </c>
      <c r="G16" s="20">
        <f t="shared" si="6"/>
        <v>30293682</v>
      </c>
      <c r="H16" s="20">
        <f t="shared" si="6"/>
        <v>30293682</v>
      </c>
      <c r="I16" s="20">
        <f t="shared" si="6"/>
        <v>0</v>
      </c>
    </row>
    <row r="17" spans="1:9" x14ac:dyDescent="0.25">
      <c r="A17" s="49"/>
      <c r="B17" s="58"/>
      <c r="C17" s="55"/>
      <c r="D17" s="33" t="s">
        <v>7</v>
      </c>
      <c r="E17" s="21"/>
      <c r="F17" s="21"/>
      <c r="G17" s="22"/>
      <c r="H17" s="22"/>
      <c r="I17" s="22"/>
    </row>
    <row r="18" spans="1:9" x14ac:dyDescent="0.25">
      <c r="A18" s="49"/>
      <c r="B18" s="58"/>
      <c r="C18" s="55"/>
      <c r="D18" s="33" t="s">
        <v>11</v>
      </c>
      <c r="E18" s="21"/>
      <c r="F18" s="21"/>
      <c r="G18" s="22"/>
      <c r="H18" s="22"/>
      <c r="I18" s="22"/>
    </row>
    <row r="19" spans="1:9" x14ac:dyDescent="0.25">
      <c r="A19" s="49"/>
      <c r="B19" s="58"/>
      <c r="C19" s="56"/>
      <c r="D19" s="32" t="s">
        <v>12</v>
      </c>
      <c r="E19" s="21">
        <f>49041030-260000-466683-467650-10454.54-53456.56-454756.63</f>
        <v>47328029.269999996</v>
      </c>
      <c r="F19" s="21">
        <f>37310000+15000-44000-1520000-194955.56+15584.61+658231.28</f>
        <v>36239860.329999998</v>
      </c>
      <c r="G19" s="23">
        <v>30293682</v>
      </c>
      <c r="H19" s="23">
        <v>30293682</v>
      </c>
      <c r="I19" s="23"/>
    </row>
    <row r="20" spans="1:9" ht="16.95" customHeight="1" x14ac:dyDescent="0.25">
      <c r="A20" s="48">
        <v>2</v>
      </c>
      <c r="B20" s="57" t="s">
        <v>14</v>
      </c>
      <c r="C20" s="54" t="s">
        <v>73</v>
      </c>
      <c r="D20" s="19" t="s">
        <v>13</v>
      </c>
      <c r="E20" s="20">
        <f>SUM(E21:E23)</f>
        <v>85520509.269999996</v>
      </c>
      <c r="F20" s="20">
        <f t="shared" ref="F20" si="7">SUM(F21:F23)</f>
        <v>106796700.08</v>
      </c>
      <c r="G20" s="20">
        <f t="shared" ref="G20" si="8">SUM(G21:G23)</f>
        <v>93805806</v>
      </c>
      <c r="H20" s="20">
        <f t="shared" ref="H20" si="9">SUM(H21:H23)</f>
        <v>93805806</v>
      </c>
      <c r="I20" s="20">
        <f t="shared" ref="I20" si="10">SUM(I21:I23)</f>
        <v>0</v>
      </c>
    </row>
    <row r="21" spans="1:9" ht="16.95" customHeight="1" x14ac:dyDescent="0.25">
      <c r="A21" s="49"/>
      <c r="B21" s="58"/>
      <c r="C21" s="55"/>
      <c r="D21" s="33" t="s">
        <v>7</v>
      </c>
      <c r="E21" s="21"/>
      <c r="F21" s="21"/>
      <c r="G21" s="22"/>
      <c r="H21" s="22"/>
      <c r="I21" s="22"/>
    </row>
    <row r="22" spans="1:9" ht="16.95" customHeight="1" x14ac:dyDescent="0.25">
      <c r="A22" s="49"/>
      <c r="B22" s="58"/>
      <c r="C22" s="55"/>
      <c r="D22" s="33" t="s">
        <v>11</v>
      </c>
      <c r="E22" s="21">
        <f>95268752-3255548-6492694.73</f>
        <v>85520509.269999996</v>
      </c>
      <c r="F22" s="21">
        <f>93805806+6990894.08+6000000</f>
        <v>106796700.08</v>
      </c>
      <c r="G22" s="22">
        <v>93805806</v>
      </c>
      <c r="H22" s="22">
        <v>93805806</v>
      </c>
      <c r="I22" s="22"/>
    </row>
    <row r="23" spans="1:9" ht="16.95" customHeight="1" x14ac:dyDescent="0.25">
      <c r="A23" s="50"/>
      <c r="B23" s="59"/>
      <c r="C23" s="56"/>
      <c r="D23" s="32" t="s">
        <v>12</v>
      </c>
      <c r="E23" s="24"/>
      <c r="F23" s="24"/>
      <c r="G23" s="23"/>
      <c r="H23" s="23"/>
      <c r="I23" s="23"/>
    </row>
    <row r="24" spans="1:9" x14ac:dyDescent="0.25">
      <c r="A24" s="48">
        <v>3</v>
      </c>
      <c r="B24" s="57" t="s">
        <v>74</v>
      </c>
      <c r="C24" s="54" t="s">
        <v>73</v>
      </c>
      <c r="D24" s="19" t="s">
        <v>13</v>
      </c>
      <c r="E24" s="20">
        <f>SUM(E25:E27)</f>
        <v>6829999.9900000002</v>
      </c>
      <c r="F24" s="20">
        <f t="shared" ref="F24" si="11">SUM(F25:F27)</f>
        <v>1435353.53</v>
      </c>
      <c r="G24" s="20">
        <f t="shared" ref="G24" si="12">SUM(G25:G27)</f>
        <v>1435353.53</v>
      </c>
      <c r="H24" s="20">
        <f t="shared" ref="H24" si="13">SUM(H25:H27)</f>
        <v>1435353.53</v>
      </c>
      <c r="I24" s="20">
        <f t="shared" ref="I24" si="14">SUM(I25:I27)</f>
        <v>0</v>
      </c>
    </row>
    <row r="25" spans="1:9" x14ac:dyDescent="0.25">
      <c r="A25" s="49"/>
      <c r="B25" s="58"/>
      <c r="C25" s="55"/>
      <c r="D25" s="33" t="s">
        <v>7</v>
      </c>
      <c r="E25" s="21"/>
      <c r="F25" s="21"/>
      <c r="G25" s="21"/>
      <c r="H25" s="22"/>
      <c r="I25" s="22"/>
    </row>
    <row r="26" spans="1:9" x14ac:dyDescent="0.25">
      <c r="A26" s="49"/>
      <c r="B26" s="58"/>
      <c r="C26" s="55"/>
      <c r="D26" s="33" t="s">
        <v>11</v>
      </c>
      <c r="E26" s="21">
        <f>1035000+5726700</f>
        <v>6761700</v>
      </c>
      <c r="F26" s="21">
        <v>1421000</v>
      </c>
      <c r="G26" s="21">
        <v>1421000</v>
      </c>
      <c r="H26" s="22">
        <v>1421000</v>
      </c>
      <c r="I26" s="22"/>
    </row>
    <row r="27" spans="1:9" x14ac:dyDescent="0.25">
      <c r="A27" s="49"/>
      <c r="B27" s="59"/>
      <c r="C27" s="56"/>
      <c r="D27" s="32" t="s">
        <v>12</v>
      </c>
      <c r="E27" s="24">
        <f>10454.54+57845.45</f>
        <v>68299.989999999991</v>
      </c>
      <c r="F27" s="24">
        <v>14353.53</v>
      </c>
      <c r="G27" s="24">
        <v>14353.53</v>
      </c>
      <c r="H27" s="23">
        <v>14353.53</v>
      </c>
      <c r="I27" s="23"/>
    </row>
    <row r="28" spans="1:9" s="17" customFormat="1" ht="24.15" customHeight="1" x14ac:dyDescent="0.25">
      <c r="A28" s="48">
        <v>4</v>
      </c>
      <c r="B28" s="61" t="s">
        <v>15</v>
      </c>
      <c r="C28" s="54" t="s">
        <v>73</v>
      </c>
      <c r="D28" s="19" t="s">
        <v>13</v>
      </c>
      <c r="E28" s="20">
        <f>SUM(E29:E31)</f>
        <v>2303660.7000000002</v>
      </c>
      <c r="F28" s="20">
        <f t="shared" ref="F28" si="15">SUM(F29:F31)</f>
        <v>2533700</v>
      </c>
      <c r="G28" s="20">
        <f t="shared" ref="G28" si="16">SUM(G29:G31)</f>
        <v>2533700</v>
      </c>
      <c r="H28" s="20">
        <f t="shared" ref="H28" si="17">SUM(H29:H31)</f>
        <v>2533700</v>
      </c>
      <c r="I28" s="20">
        <f t="shared" ref="I28" si="18">SUM(I29:I31)</f>
        <v>0</v>
      </c>
    </row>
    <row r="29" spans="1:9" s="17" customFormat="1" ht="24.15" customHeight="1" x14ac:dyDescent="0.25">
      <c r="A29" s="49"/>
      <c r="B29" s="61"/>
      <c r="C29" s="55"/>
      <c r="D29" s="33" t="s">
        <v>7</v>
      </c>
      <c r="E29" s="21"/>
      <c r="F29" s="21"/>
      <c r="G29" s="22"/>
      <c r="H29" s="22"/>
      <c r="I29" s="22"/>
    </row>
    <row r="30" spans="1:9" s="17" customFormat="1" ht="24.15" customHeight="1" x14ac:dyDescent="0.25">
      <c r="A30" s="49"/>
      <c r="B30" s="61"/>
      <c r="C30" s="55"/>
      <c r="D30" s="33" t="s">
        <v>11</v>
      </c>
      <c r="E30" s="21">
        <f>2531200-1200-25000-200000-1339.3</f>
        <v>2303660.7000000002</v>
      </c>
      <c r="F30" s="21">
        <v>2533700</v>
      </c>
      <c r="G30" s="22">
        <v>2533700</v>
      </c>
      <c r="H30" s="22">
        <v>2533700</v>
      </c>
      <c r="I30" s="22"/>
    </row>
    <row r="31" spans="1:9" s="17" customFormat="1" ht="24.15" customHeight="1" x14ac:dyDescent="0.25">
      <c r="A31" s="50"/>
      <c r="B31" s="61"/>
      <c r="C31" s="56"/>
      <c r="D31" s="32" t="s">
        <v>12</v>
      </c>
      <c r="E31" s="24"/>
      <c r="F31" s="24"/>
      <c r="G31" s="23"/>
      <c r="H31" s="23"/>
      <c r="I31" s="23"/>
    </row>
    <row r="32" spans="1:9" s="11" customFormat="1" x14ac:dyDescent="0.25">
      <c r="A32" s="71" t="s">
        <v>16</v>
      </c>
      <c r="B32" s="72"/>
      <c r="C32" s="72"/>
      <c r="D32" s="72"/>
      <c r="E32" s="72"/>
      <c r="F32" s="72"/>
      <c r="G32" s="72"/>
      <c r="H32" s="72"/>
      <c r="I32" s="73"/>
    </row>
    <row r="33" spans="1:9" s="17" customFormat="1" ht="30" customHeight="1" x14ac:dyDescent="0.25">
      <c r="A33" s="48">
        <v>5</v>
      </c>
      <c r="B33" s="51" t="s">
        <v>77</v>
      </c>
      <c r="C33" s="54" t="s">
        <v>73</v>
      </c>
      <c r="D33" s="19" t="s">
        <v>13</v>
      </c>
      <c r="E33" s="20">
        <f>SUM(E34:E36)</f>
        <v>389374.62</v>
      </c>
      <c r="F33" s="20">
        <f t="shared" ref="F33:I33" si="19">SUM(F34:F36)</f>
        <v>499205.62</v>
      </c>
      <c r="G33" s="20">
        <f t="shared" si="19"/>
        <v>0</v>
      </c>
      <c r="H33" s="20">
        <f t="shared" si="19"/>
        <v>0</v>
      </c>
      <c r="I33" s="20">
        <f t="shared" si="19"/>
        <v>0</v>
      </c>
    </row>
    <row r="34" spans="1:9" s="17" customFormat="1" ht="30" customHeight="1" x14ac:dyDescent="0.25">
      <c r="A34" s="49"/>
      <c r="B34" s="52"/>
      <c r="C34" s="55"/>
      <c r="D34" s="37" t="s">
        <v>7</v>
      </c>
      <c r="E34" s="21"/>
      <c r="F34" s="21"/>
      <c r="G34" s="22"/>
      <c r="H34" s="22"/>
      <c r="I34" s="22"/>
    </row>
    <row r="35" spans="1:9" s="17" customFormat="1" ht="30" customHeight="1" x14ac:dyDescent="0.25">
      <c r="A35" s="49"/>
      <c r="B35" s="52"/>
      <c r="C35" s="55"/>
      <c r="D35" s="37" t="s">
        <v>11</v>
      </c>
      <c r="E35" s="21"/>
      <c r="F35" s="21"/>
      <c r="G35" s="22"/>
      <c r="H35" s="22"/>
      <c r="I35" s="22"/>
    </row>
    <row r="36" spans="1:9" s="17" customFormat="1" ht="30" customHeight="1" x14ac:dyDescent="0.25">
      <c r="A36" s="50"/>
      <c r="B36" s="53"/>
      <c r="C36" s="56"/>
      <c r="D36" s="36" t="s">
        <v>12</v>
      </c>
      <c r="E36" s="24">
        <v>389374.62</v>
      </c>
      <c r="F36" s="24">
        <f>389374.62+109831</f>
        <v>499205.62</v>
      </c>
      <c r="G36" s="23"/>
      <c r="H36" s="23"/>
      <c r="I36" s="23"/>
    </row>
    <row r="37" spans="1:9" s="17" customFormat="1" ht="13.2" x14ac:dyDescent="0.25">
      <c r="A37" s="48">
        <v>6</v>
      </c>
      <c r="B37" s="57" t="s">
        <v>78</v>
      </c>
      <c r="C37" s="54" t="s">
        <v>73</v>
      </c>
      <c r="D37" s="19" t="s">
        <v>13</v>
      </c>
      <c r="E37" s="20">
        <f>SUM(E38:E40)</f>
        <v>0</v>
      </c>
      <c r="F37" s="20">
        <f t="shared" ref="F37:I37" si="20">SUM(F38:F40)</f>
        <v>0</v>
      </c>
      <c r="G37" s="20">
        <f t="shared" si="20"/>
        <v>0</v>
      </c>
      <c r="H37" s="20">
        <f t="shared" si="20"/>
        <v>0</v>
      </c>
      <c r="I37" s="20">
        <f t="shared" si="20"/>
        <v>0</v>
      </c>
    </row>
    <row r="38" spans="1:9" s="17" customFormat="1" ht="13.2" x14ac:dyDescent="0.25">
      <c r="A38" s="49"/>
      <c r="B38" s="58"/>
      <c r="C38" s="55"/>
      <c r="D38" s="33" t="s">
        <v>7</v>
      </c>
      <c r="E38" s="21"/>
      <c r="F38" s="21"/>
      <c r="G38" s="22"/>
      <c r="H38" s="22"/>
      <c r="I38" s="22"/>
    </row>
    <row r="39" spans="1:9" s="17" customFormat="1" ht="13.2" x14ac:dyDescent="0.25">
      <c r="A39" s="49"/>
      <c r="B39" s="58"/>
      <c r="C39" s="55"/>
      <c r="D39" s="33" t="s">
        <v>11</v>
      </c>
      <c r="E39" s="21"/>
      <c r="F39" s="21"/>
      <c r="G39" s="22"/>
      <c r="H39" s="22"/>
      <c r="I39" s="22"/>
    </row>
    <row r="40" spans="1:9" s="17" customFormat="1" ht="13.2" x14ac:dyDescent="0.25">
      <c r="A40" s="50"/>
      <c r="B40" s="59"/>
      <c r="C40" s="56"/>
      <c r="D40" s="32" t="s">
        <v>12</v>
      </c>
      <c r="E40" s="24"/>
      <c r="F40" s="24"/>
      <c r="G40" s="23"/>
      <c r="H40" s="23"/>
      <c r="I40" s="23"/>
    </row>
    <row r="41" spans="1:9" s="17" customFormat="1" ht="13.2" x14ac:dyDescent="0.25">
      <c r="A41" s="48">
        <v>7</v>
      </c>
      <c r="B41" s="57" t="s">
        <v>79</v>
      </c>
      <c r="C41" s="54" t="s">
        <v>73</v>
      </c>
      <c r="D41" s="19" t="s">
        <v>13</v>
      </c>
      <c r="E41" s="20">
        <f>SUM(E42:E44)</f>
        <v>99841</v>
      </c>
      <c r="F41" s="20">
        <f t="shared" ref="F41:I41" si="21">SUM(F42:F44)</f>
        <v>0</v>
      </c>
      <c r="G41" s="20">
        <f t="shared" si="21"/>
        <v>0</v>
      </c>
      <c r="H41" s="20">
        <f t="shared" si="21"/>
        <v>0</v>
      </c>
      <c r="I41" s="20">
        <f t="shared" si="21"/>
        <v>0</v>
      </c>
    </row>
    <row r="42" spans="1:9" s="17" customFormat="1" ht="13.2" x14ac:dyDescent="0.25">
      <c r="A42" s="49"/>
      <c r="B42" s="58"/>
      <c r="C42" s="55"/>
      <c r="D42" s="33" t="s">
        <v>7</v>
      </c>
      <c r="E42" s="21"/>
      <c r="F42" s="21"/>
      <c r="G42" s="22"/>
      <c r="H42" s="22"/>
      <c r="I42" s="22"/>
    </row>
    <row r="43" spans="1:9" s="17" customFormat="1" ht="13.2" x14ac:dyDescent="0.25">
      <c r="A43" s="49"/>
      <c r="B43" s="58"/>
      <c r="C43" s="55"/>
      <c r="D43" s="33" t="s">
        <v>11</v>
      </c>
      <c r="E43" s="21"/>
      <c r="F43" s="21"/>
      <c r="G43" s="22"/>
      <c r="H43" s="22"/>
      <c r="I43" s="22"/>
    </row>
    <row r="44" spans="1:9" s="17" customFormat="1" ht="13.2" x14ac:dyDescent="0.25">
      <c r="A44" s="50"/>
      <c r="B44" s="59"/>
      <c r="C44" s="56"/>
      <c r="D44" s="32" t="s">
        <v>12</v>
      </c>
      <c r="E44" s="24">
        <f>800000-800000+99841+43925.66-43925.66</f>
        <v>99841</v>
      </c>
      <c r="F44" s="24"/>
      <c r="G44" s="23"/>
      <c r="H44" s="23"/>
      <c r="I44" s="23"/>
    </row>
    <row r="45" spans="1:9" s="17" customFormat="1" ht="30.45" customHeight="1" x14ac:dyDescent="0.25">
      <c r="A45" s="48">
        <v>8</v>
      </c>
      <c r="B45" s="57" t="s">
        <v>80</v>
      </c>
      <c r="C45" s="54" t="s">
        <v>73</v>
      </c>
      <c r="D45" s="19" t="s">
        <v>13</v>
      </c>
      <c r="E45" s="20">
        <f>SUM(E46:E48)</f>
        <v>0</v>
      </c>
      <c r="F45" s="20">
        <f t="shared" ref="F45:I45" si="22">SUM(F46:F48)</f>
        <v>0</v>
      </c>
      <c r="G45" s="20">
        <f t="shared" si="22"/>
        <v>0</v>
      </c>
      <c r="H45" s="20">
        <f t="shared" si="22"/>
        <v>0</v>
      </c>
      <c r="I45" s="20">
        <f t="shared" si="22"/>
        <v>0</v>
      </c>
    </row>
    <row r="46" spans="1:9" s="17" customFormat="1" ht="30.45" customHeight="1" x14ac:dyDescent="0.25">
      <c r="A46" s="49"/>
      <c r="B46" s="58"/>
      <c r="C46" s="55"/>
      <c r="D46" s="33" t="s">
        <v>7</v>
      </c>
      <c r="E46" s="21"/>
      <c r="F46" s="21"/>
      <c r="G46" s="22"/>
      <c r="H46" s="22"/>
      <c r="I46" s="22"/>
    </row>
    <row r="47" spans="1:9" s="17" customFormat="1" ht="30.45" customHeight="1" x14ac:dyDescent="0.25">
      <c r="A47" s="49"/>
      <c r="B47" s="58"/>
      <c r="C47" s="55"/>
      <c r="D47" s="33" t="s">
        <v>11</v>
      </c>
      <c r="E47" s="21"/>
      <c r="F47" s="21"/>
      <c r="G47" s="22"/>
      <c r="H47" s="22"/>
      <c r="I47" s="22"/>
    </row>
    <row r="48" spans="1:9" s="17" customFormat="1" ht="30.45" customHeight="1" x14ac:dyDescent="0.25">
      <c r="A48" s="50"/>
      <c r="B48" s="59"/>
      <c r="C48" s="56"/>
      <c r="D48" s="32" t="s">
        <v>12</v>
      </c>
      <c r="E48" s="24"/>
      <c r="F48" s="24"/>
      <c r="G48" s="23"/>
      <c r="H48" s="23"/>
      <c r="I48" s="23"/>
    </row>
    <row r="49" spans="1:9" s="17" customFormat="1" ht="13.2" x14ac:dyDescent="0.25">
      <c r="A49" s="48">
        <v>9</v>
      </c>
      <c r="B49" s="57" t="s">
        <v>81</v>
      </c>
      <c r="C49" s="54" t="s">
        <v>73</v>
      </c>
      <c r="D49" s="19" t="s">
        <v>13</v>
      </c>
      <c r="E49" s="20">
        <f>SUM(E50:E52)</f>
        <v>0</v>
      </c>
      <c r="F49" s="20">
        <f t="shared" ref="F49:I49" si="23">SUM(F50:F52)</f>
        <v>0</v>
      </c>
      <c r="G49" s="20">
        <f t="shared" si="23"/>
        <v>0</v>
      </c>
      <c r="H49" s="20">
        <f t="shared" si="23"/>
        <v>0</v>
      </c>
      <c r="I49" s="20">
        <f t="shared" si="23"/>
        <v>0</v>
      </c>
    </row>
    <row r="50" spans="1:9" s="17" customFormat="1" ht="13.2" x14ac:dyDescent="0.25">
      <c r="A50" s="49"/>
      <c r="B50" s="58"/>
      <c r="C50" s="55"/>
      <c r="D50" s="33" t="s">
        <v>7</v>
      </c>
      <c r="E50" s="21"/>
      <c r="F50" s="21"/>
      <c r="G50" s="22"/>
      <c r="H50" s="22"/>
      <c r="I50" s="22"/>
    </row>
    <row r="51" spans="1:9" s="17" customFormat="1" ht="13.2" x14ac:dyDescent="0.25">
      <c r="A51" s="49"/>
      <c r="B51" s="58"/>
      <c r="C51" s="55"/>
      <c r="D51" s="33" t="s">
        <v>11</v>
      </c>
      <c r="E51" s="21"/>
      <c r="F51" s="21"/>
      <c r="G51" s="22"/>
      <c r="H51" s="22"/>
      <c r="I51" s="22"/>
    </row>
    <row r="52" spans="1:9" s="17" customFormat="1" ht="13.2" x14ac:dyDescent="0.25">
      <c r="A52" s="49"/>
      <c r="B52" s="59"/>
      <c r="C52" s="56"/>
      <c r="D52" s="32" t="s">
        <v>12</v>
      </c>
      <c r="E52" s="24"/>
      <c r="F52" s="24"/>
      <c r="G52" s="23"/>
      <c r="H52" s="23"/>
      <c r="I52" s="23"/>
    </row>
    <row r="53" spans="1:9" s="17" customFormat="1" ht="13.2" x14ac:dyDescent="0.25">
      <c r="A53" s="60">
        <v>10</v>
      </c>
      <c r="B53" s="57" t="s">
        <v>82</v>
      </c>
      <c r="C53" s="54" t="s">
        <v>73</v>
      </c>
      <c r="D53" s="19" t="s">
        <v>13</v>
      </c>
      <c r="E53" s="20">
        <f>SUM(E54:E56)</f>
        <v>0</v>
      </c>
      <c r="F53" s="20">
        <f t="shared" ref="F53:I53" si="24">SUM(F54:F56)</f>
        <v>143445.75</v>
      </c>
      <c r="G53" s="20">
        <f t="shared" si="24"/>
        <v>0</v>
      </c>
      <c r="H53" s="20">
        <f t="shared" si="24"/>
        <v>0</v>
      </c>
      <c r="I53" s="20">
        <f t="shared" si="24"/>
        <v>0</v>
      </c>
    </row>
    <row r="54" spans="1:9" s="17" customFormat="1" ht="13.2" x14ac:dyDescent="0.25">
      <c r="A54" s="60"/>
      <c r="B54" s="58"/>
      <c r="C54" s="55"/>
      <c r="D54" s="33" t="s">
        <v>7</v>
      </c>
      <c r="E54" s="21"/>
      <c r="F54" s="21"/>
      <c r="G54" s="22"/>
      <c r="H54" s="22"/>
      <c r="I54" s="22"/>
    </row>
    <row r="55" spans="1:9" s="17" customFormat="1" ht="13.2" x14ac:dyDescent="0.25">
      <c r="A55" s="60"/>
      <c r="B55" s="58"/>
      <c r="C55" s="55"/>
      <c r="D55" s="33" t="s">
        <v>11</v>
      </c>
      <c r="E55" s="21"/>
      <c r="F55" s="21"/>
      <c r="G55" s="22"/>
      <c r="H55" s="22"/>
      <c r="I55" s="22"/>
    </row>
    <row r="56" spans="1:9" s="17" customFormat="1" ht="13.2" x14ac:dyDescent="0.25">
      <c r="A56" s="60"/>
      <c r="B56" s="59"/>
      <c r="C56" s="56"/>
      <c r="D56" s="32" t="s">
        <v>12</v>
      </c>
      <c r="E56" s="24"/>
      <c r="F56" s="24">
        <f>143445.75</f>
        <v>143445.75</v>
      </c>
      <c r="G56" s="23"/>
      <c r="H56" s="23"/>
      <c r="I56" s="23"/>
    </row>
    <row r="57" spans="1:9" s="17" customFormat="1" ht="13.2" x14ac:dyDescent="0.25">
      <c r="A57" s="60">
        <v>11</v>
      </c>
      <c r="B57" s="51" t="s">
        <v>83</v>
      </c>
      <c r="C57" s="54" t="s">
        <v>73</v>
      </c>
      <c r="D57" s="19" t="s">
        <v>13</v>
      </c>
      <c r="E57" s="20">
        <f>SUM(E58:E60)</f>
        <v>1155721.08</v>
      </c>
      <c r="F57" s="20">
        <f t="shared" ref="F57:I57" si="25">SUM(F58:F60)</f>
        <v>1770146.5599999998</v>
      </c>
      <c r="G57" s="20">
        <f t="shared" si="25"/>
        <v>0</v>
      </c>
      <c r="H57" s="20">
        <f t="shared" si="25"/>
        <v>0</v>
      </c>
      <c r="I57" s="20">
        <f t="shared" si="25"/>
        <v>0</v>
      </c>
    </row>
    <row r="58" spans="1:9" s="17" customFormat="1" ht="13.2" x14ac:dyDescent="0.25">
      <c r="A58" s="60"/>
      <c r="B58" s="52"/>
      <c r="C58" s="55"/>
      <c r="D58" s="33" t="s">
        <v>7</v>
      </c>
      <c r="E58" s="21"/>
      <c r="F58" s="21"/>
      <c r="G58" s="22"/>
      <c r="H58" s="22"/>
      <c r="I58" s="22"/>
    </row>
    <row r="59" spans="1:9" s="17" customFormat="1" ht="13.2" x14ac:dyDescent="0.25">
      <c r="A59" s="60"/>
      <c r="B59" s="52"/>
      <c r="C59" s="55"/>
      <c r="D59" s="33" t="s">
        <v>11</v>
      </c>
      <c r="E59" s="21">
        <v>1040148.97</v>
      </c>
      <c r="F59" s="21">
        <f>978881.9-36000+650250</f>
        <v>1593131.9</v>
      </c>
      <c r="G59" s="22"/>
      <c r="H59" s="22"/>
      <c r="I59" s="22"/>
    </row>
    <row r="60" spans="1:9" s="17" customFormat="1" ht="13.2" x14ac:dyDescent="0.25">
      <c r="A60" s="60"/>
      <c r="B60" s="53"/>
      <c r="C60" s="56"/>
      <c r="D60" s="32" t="s">
        <v>12</v>
      </c>
      <c r="E60" s="24">
        <f>101800+13772.11</f>
        <v>115572.11</v>
      </c>
      <c r="F60" s="24">
        <f>108764.66-4000+72250</f>
        <v>177014.66</v>
      </c>
      <c r="G60" s="23"/>
      <c r="H60" s="23"/>
      <c r="I60" s="23"/>
    </row>
    <row r="61" spans="1:9" s="17" customFormat="1" ht="13.2" x14ac:dyDescent="0.25">
      <c r="A61" s="60">
        <v>12</v>
      </c>
      <c r="B61" s="57" t="s">
        <v>84</v>
      </c>
      <c r="C61" s="54" t="s">
        <v>73</v>
      </c>
      <c r="D61" s="19" t="s">
        <v>13</v>
      </c>
      <c r="E61" s="20">
        <f>SUM(E62:E64)</f>
        <v>94800</v>
      </c>
      <c r="F61" s="20">
        <f t="shared" ref="F61:I61" si="26">SUM(F62:F64)</f>
        <v>94800</v>
      </c>
      <c r="G61" s="20">
        <f t="shared" si="26"/>
        <v>94800</v>
      </c>
      <c r="H61" s="20">
        <f t="shared" si="26"/>
        <v>94800</v>
      </c>
      <c r="I61" s="20">
        <f t="shared" si="26"/>
        <v>0</v>
      </c>
    </row>
    <row r="62" spans="1:9" s="17" customFormat="1" ht="13.2" x14ac:dyDescent="0.25">
      <c r="A62" s="60"/>
      <c r="B62" s="58"/>
      <c r="C62" s="55"/>
      <c r="D62" s="33" t="s">
        <v>7</v>
      </c>
      <c r="E62" s="21"/>
      <c r="F62" s="21"/>
      <c r="G62" s="22"/>
      <c r="H62" s="22"/>
      <c r="I62" s="22"/>
    </row>
    <row r="63" spans="1:9" s="17" customFormat="1" ht="13.2" x14ac:dyDescent="0.25">
      <c r="A63" s="60"/>
      <c r="B63" s="58"/>
      <c r="C63" s="55"/>
      <c r="D63" s="33" t="s">
        <v>11</v>
      </c>
      <c r="E63" s="21"/>
      <c r="F63" s="21"/>
      <c r="G63" s="22"/>
      <c r="H63" s="22"/>
      <c r="I63" s="22"/>
    </row>
    <row r="64" spans="1:9" s="17" customFormat="1" ht="13.2" x14ac:dyDescent="0.25">
      <c r="A64" s="60"/>
      <c r="B64" s="59"/>
      <c r="C64" s="56"/>
      <c r="D64" s="32" t="s">
        <v>12</v>
      </c>
      <c r="E64" s="24">
        <v>94800</v>
      </c>
      <c r="F64" s="24">
        <v>94800</v>
      </c>
      <c r="G64" s="23">
        <v>94800</v>
      </c>
      <c r="H64" s="23">
        <v>94800</v>
      </c>
      <c r="I64" s="23"/>
    </row>
    <row r="65" spans="1:9" s="17" customFormat="1" ht="16.95" customHeight="1" x14ac:dyDescent="0.25">
      <c r="A65" s="60">
        <v>13</v>
      </c>
      <c r="B65" s="57" t="s">
        <v>85</v>
      </c>
      <c r="C65" s="54" t="s">
        <v>73</v>
      </c>
      <c r="D65" s="19" t="s">
        <v>13</v>
      </c>
      <c r="E65" s="20">
        <f>SUM(E66:E68)</f>
        <v>0</v>
      </c>
      <c r="F65" s="20">
        <f t="shared" ref="F65:I65" si="27">SUM(F66:F68)</f>
        <v>0</v>
      </c>
      <c r="G65" s="20">
        <f t="shared" si="27"/>
        <v>0</v>
      </c>
      <c r="H65" s="20">
        <f t="shared" si="27"/>
        <v>0</v>
      </c>
      <c r="I65" s="20">
        <f t="shared" si="27"/>
        <v>0</v>
      </c>
    </row>
    <row r="66" spans="1:9" s="17" customFormat="1" ht="16.95" customHeight="1" x14ac:dyDescent="0.25">
      <c r="A66" s="60"/>
      <c r="B66" s="58"/>
      <c r="C66" s="55"/>
      <c r="D66" s="33" t="s">
        <v>7</v>
      </c>
      <c r="E66" s="21"/>
      <c r="F66" s="21"/>
      <c r="G66" s="22"/>
      <c r="H66" s="22"/>
      <c r="I66" s="22"/>
    </row>
    <row r="67" spans="1:9" s="17" customFormat="1" ht="16.95" customHeight="1" x14ac:dyDescent="0.25">
      <c r="A67" s="60"/>
      <c r="B67" s="58"/>
      <c r="C67" s="55"/>
      <c r="D67" s="33" t="s">
        <v>11</v>
      </c>
      <c r="E67" s="21"/>
      <c r="F67" s="21"/>
      <c r="G67" s="22"/>
      <c r="H67" s="22"/>
      <c r="I67" s="22"/>
    </row>
    <row r="68" spans="1:9" s="17" customFormat="1" ht="16.95" customHeight="1" x14ac:dyDescent="0.25">
      <c r="A68" s="60"/>
      <c r="B68" s="59"/>
      <c r="C68" s="56"/>
      <c r="D68" s="32" t="s">
        <v>12</v>
      </c>
      <c r="E68" s="24"/>
      <c r="F68" s="24"/>
      <c r="G68" s="23"/>
      <c r="H68" s="23"/>
      <c r="I68" s="23"/>
    </row>
    <row r="69" spans="1:9" s="17" customFormat="1" ht="13.2" x14ac:dyDescent="0.25">
      <c r="A69" s="60">
        <v>14</v>
      </c>
      <c r="B69" s="57" t="s">
        <v>86</v>
      </c>
      <c r="C69" s="54" t="s">
        <v>73</v>
      </c>
      <c r="D69" s="19" t="s">
        <v>13</v>
      </c>
      <c r="E69" s="20">
        <f>SUM(E70:E72)</f>
        <v>0</v>
      </c>
      <c r="F69" s="20">
        <f t="shared" ref="F69:I69" si="28">SUM(F70:F72)</f>
        <v>0</v>
      </c>
      <c r="G69" s="20">
        <f t="shared" si="28"/>
        <v>0</v>
      </c>
      <c r="H69" s="20">
        <f t="shared" si="28"/>
        <v>0</v>
      </c>
      <c r="I69" s="20">
        <f t="shared" si="28"/>
        <v>0</v>
      </c>
    </row>
    <row r="70" spans="1:9" s="17" customFormat="1" ht="13.2" x14ac:dyDescent="0.25">
      <c r="A70" s="60"/>
      <c r="B70" s="58"/>
      <c r="C70" s="55"/>
      <c r="D70" s="33" t="s">
        <v>7</v>
      </c>
      <c r="E70" s="21"/>
      <c r="F70" s="21"/>
      <c r="G70" s="22"/>
      <c r="H70" s="22"/>
      <c r="I70" s="22"/>
    </row>
    <row r="71" spans="1:9" s="17" customFormat="1" ht="13.2" x14ac:dyDescent="0.25">
      <c r="A71" s="60"/>
      <c r="B71" s="58"/>
      <c r="C71" s="55"/>
      <c r="D71" s="33" t="s">
        <v>11</v>
      </c>
      <c r="E71" s="21"/>
      <c r="F71" s="21"/>
      <c r="G71" s="22"/>
      <c r="H71" s="22"/>
      <c r="I71" s="22"/>
    </row>
    <row r="72" spans="1:9" s="17" customFormat="1" ht="13.2" x14ac:dyDescent="0.25">
      <c r="A72" s="60"/>
      <c r="B72" s="59"/>
      <c r="C72" s="56"/>
      <c r="D72" s="32" t="s">
        <v>12</v>
      </c>
      <c r="E72" s="24"/>
      <c r="F72" s="24"/>
      <c r="G72" s="23"/>
      <c r="H72" s="23"/>
      <c r="I72" s="23"/>
    </row>
    <row r="73" spans="1:9" s="17" customFormat="1" ht="13.2" x14ac:dyDescent="0.25">
      <c r="A73" s="60">
        <v>15</v>
      </c>
      <c r="B73" s="57" t="s">
        <v>87</v>
      </c>
      <c r="C73" s="54" t="s">
        <v>73</v>
      </c>
      <c r="D73" s="19" t="s">
        <v>13</v>
      </c>
      <c r="E73" s="20">
        <f>SUM(E74:E76)</f>
        <v>0</v>
      </c>
      <c r="F73" s="20">
        <f t="shared" ref="F73:I73" si="29">SUM(F74:F76)</f>
        <v>0</v>
      </c>
      <c r="G73" s="20">
        <f t="shared" si="29"/>
        <v>0</v>
      </c>
      <c r="H73" s="20">
        <f t="shared" si="29"/>
        <v>0</v>
      </c>
      <c r="I73" s="20">
        <f t="shared" si="29"/>
        <v>0</v>
      </c>
    </row>
    <row r="74" spans="1:9" s="17" customFormat="1" ht="13.2" x14ac:dyDescent="0.25">
      <c r="A74" s="60"/>
      <c r="B74" s="58"/>
      <c r="C74" s="55"/>
      <c r="D74" s="33" t="s">
        <v>7</v>
      </c>
      <c r="E74" s="21"/>
      <c r="F74" s="21"/>
      <c r="G74" s="22"/>
      <c r="H74" s="22"/>
      <c r="I74" s="22"/>
    </row>
    <row r="75" spans="1:9" s="17" customFormat="1" ht="13.2" x14ac:dyDescent="0.25">
      <c r="A75" s="60"/>
      <c r="B75" s="58"/>
      <c r="C75" s="55"/>
      <c r="D75" s="33" t="s">
        <v>11</v>
      </c>
      <c r="E75" s="21"/>
      <c r="F75" s="21"/>
      <c r="G75" s="22"/>
      <c r="H75" s="22"/>
      <c r="I75" s="22"/>
    </row>
    <row r="76" spans="1:9" s="17" customFormat="1" ht="13.2" x14ac:dyDescent="0.25">
      <c r="A76" s="60"/>
      <c r="B76" s="59"/>
      <c r="C76" s="56"/>
      <c r="D76" s="32" t="s">
        <v>12</v>
      </c>
      <c r="E76" s="24"/>
      <c r="F76" s="24"/>
      <c r="G76" s="23"/>
      <c r="H76" s="23"/>
      <c r="I76" s="23"/>
    </row>
    <row r="77" spans="1:9" s="17" customFormat="1" x14ac:dyDescent="0.25">
      <c r="A77" s="71" t="s">
        <v>17</v>
      </c>
      <c r="B77" s="72"/>
      <c r="C77" s="72"/>
      <c r="D77" s="72"/>
      <c r="E77" s="72"/>
      <c r="F77" s="72"/>
      <c r="G77" s="72"/>
      <c r="H77" s="72"/>
      <c r="I77" s="73"/>
    </row>
    <row r="78" spans="1:9" x14ac:dyDescent="0.25">
      <c r="A78" s="48">
        <v>16</v>
      </c>
      <c r="B78" s="57" t="s">
        <v>18</v>
      </c>
      <c r="C78" s="54" t="s">
        <v>73</v>
      </c>
      <c r="D78" s="19" t="s">
        <v>13</v>
      </c>
      <c r="E78" s="20">
        <f>SUM(E79:E81)</f>
        <v>0</v>
      </c>
      <c r="F78" s="20">
        <f t="shared" ref="F78:I78" si="30">SUM(F79:F81)</f>
        <v>0</v>
      </c>
      <c r="G78" s="20">
        <f t="shared" si="30"/>
        <v>0</v>
      </c>
      <c r="H78" s="20">
        <f t="shared" si="30"/>
        <v>0</v>
      </c>
      <c r="I78" s="20">
        <f t="shared" si="30"/>
        <v>0</v>
      </c>
    </row>
    <row r="79" spans="1:9" x14ac:dyDescent="0.25">
      <c r="A79" s="49"/>
      <c r="B79" s="58"/>
      <c r="C79" s="55"/>
      <c r="D79" s="33" t="s">
        <v>7</v>
      </c>
      <c r="E79" s="21"/>
      <c r="F79" s="21"/>
      <c r="G79" s="22"/>
      <c r="H79" s="22"/>
      <c r="I79" s="22"/>
    </row>
    <row r="80" spans="1:9" x14ac:dyDescent="0.25">
      <c r="A80" s="49"/>
      <c r="B80" s="58"/>
      <c r="C80" s="55"/>
      <c r="D80" s="33" t="s">
        <v>11</v>
      </c>
      <c r="E80" s="21"/>
      <c r="F80" s="21"/>
      <c r="G80" s="22"/>
      <c r="H80" s="22"/>
      <c r="I80" s="22"/>
    </row>
    <row r="81" spans="1:12" x14ac:dyDescent="0.25">
      <c r="A81" s="50"/>
      <c r="B81" s="59"/>
      <c r="C81" s="56"/>
      <c r="D81" s="32" t="s">
        <v>12</v>
      </c>
      <c r="E81" s="24"/>
      <c r="F81" s="24"/>
      <c r="G81" s="23"/>
      <c r="H81" s="23"/>
      <c r="I81" s="23"/>
    </row>
    <row r="82" spans="1:12" ht="20.7" customHeight="1" x14ac:dyDescent="0.25">
      <c r="A82" s="48">
        <v>17</v>
      </c>
      <c r="B82" s="61" t="s">
        <v>20</v>
      </c>
      <c r="C82" s="54" t="s">
        <v>73</v>
      </c>
      <c r="D82" s="19" t="s">
        <v>13</v>
      </c>
      <c r="E82" s="20">
        <f>SUM(E83:E85)</f>
        <v>0</v>
      </c>
      <c r="F82" s="20">
        <f t="shared" ref="F82:I82" si="31">SUM(F83:F85)</f>
        <v>0</v>
      </c>
      <c r="G82" s="20">
        <f t="shared" si="31"/>
        <v>0</v>
      </c>
      <c r="H82" s="20">
        <f t="shared" si="31"/>
        <v>0</v>
      </c>
      <c r="I82" s="20">
        <f t="shared" si="31"/>
        <v>0</v>
      </c>
    </row>
    <row r="83" spans="1:12" ht="20.7" customHeight="1" x14ac:dyDescent="0.25">
      <c r="A83" s="49"/>
      <c r="B83" s="61"/>
      <c r="C83" s="55"/>
      <c r="D83" s="33" t="s">
        <v>7</v>
      </c>
      <c r="E83" s="21"/>
      <c r="F83" s="21"/>
      <c r="G83" s="22"/>
      <c r="H83" s="22"/>
      <c r="I83" s="22"/>
    </row>
    <row r="84" spans="1:12" ht="20.7" customHeight="1" x14ac:dyDescent="0.25">
      <c r="A84" s="49"/>
      <c r="B84" s="61"/>
      <c r="C84" s="55"/>
      <c r="D84" s="33" t="s">
        <v>11</v>
      </c>
      <c r="E84" s="21"/>
      <c r="F84" s="21"/>
      <c r="G84" s="22"/>
      <c r="H84" s="22"/>
      <c r="I84" s="22"/>
    </row>
    <row r="85" spans="1:12" ht="20.7" customHeight="1" x14ac:dyDescent="0.25">
      <c r="A85" s="50"/>
      <c r="B85" s="61"/>
      <c r="C85" s="56"/>
      <c r="D85" s="33" t="s">
        <v>12</v>
      </c>
      <c r="E85" s="21"/>
      <c r="F85" s="21"/>
      <c r="G85" s="22"/>
      <c r="H85" s="22"/>
      <c r="I85" s="22"/>
    </row>
    <row r="86" spans="1:12" s="5" customFormat="1" ht="13.95" customHeight="1" x14ac:dyDescent="0.25">
      <c r="A86" s="65" t="s">
        <v>21</v>
      </c>
      <c r="B86" s="65" t="s">
        <v>22</v>
      </c>
      <c r="C86" s="54" t="s">
        <v>73</v>
      </c>
      <c r="D86" s="26" t="s">
        <v>10</v>
      </c>
      <c r="E86" s="27">
        <f>SUM(E87:E89)</f>
        <v>251046759.68000001</v>
      </c>
      <c r="F86" s="27">
        <f t="shared" ref="F86:I86" si="32">SUM(F87:F89)</f>
        <v>250462168.71999997</v>
      </c>
      <c r="G86" s="27">
        <f t="shared" si="32"/>
        <v>229443552.36000001</v>
      </c>
      <c r="H86" s="27">
        <f t="shared" si="32"/>
        <v>231020455.38999999</v>
      </c>
      <c r="I86" s="27">
        <f t="shared" si="32"/>
        <v>0</v>
      </c>
      <c r="K86" s="18"/>
      <c r="L86" s="18"/>
    </row>
    <row r="87" spans="1:12" s="5" customFormat="1" x14ac:dyDescent="0.25">
      <c r="A87" s="66"/>
      <c r="B87" s="66"/>
      <c r="C87" s="55"/>
      <c r="D87" s="34" t="s">
        <v>7</v>
      </c>
      <c r="E87" s="28">
        <f>E92+E96+E100+E104+E108+E112+E117+E121+E129+E133+E137+E141+E145+E149+E153+E157+E169+E173+E182+E186+E125+E177</f>
        <v>21564329.66</v>
      </c>
      <c r="F87" s="28">
        <f t="shared" ref="F87:H87" si="33">F92+F96+F100+F104+F108+F112+F117+F121+F129+F133+F137+F141+F145+F149+F153+F157+F169+F173+F182+F186+F125+F177</f>
        <v>22403059.990000002</v>
      </c>
      <c r="G87" s="28">
        <f t="shared" si="33"/>
        <v>22074883.990000002</v>
      </c>
      <c r="H87" s="28">
        <f t="shared" si="33"/>
        <v>23603532.449999999</v>
      </c>
      <c r="I87" s="28"/>
    </row>
    <row r="88" spans="1:12" s="5" customFormat="1" x14ac:dyDescent="0.25">
      <c r="A88" s="66"/>
      <c r="B88" s="66"/>
      <c r="C88" s="55"/>
      <c r="D88" s="34" t="s">
        <v>11</v>
      </c>
      <c r="E88" s="28">
        <f>E93+E97+E101+E105+E109+E113+E118+E122+E130+E134+E138+E142+E146+E150+E154+E158+E170+E174+E183+E187+E126+E178</f>
        <v>187917051.40000001</v>
      </c>
      <c r="F88" s="28">
        <f t="shared" ref="F88:H88" si="34">F93+F97+F101+F105+F109+F113+F118+F122+F130+F134+F138+F142+F146+F150+F154+F158+F170+F174+F183+F187+F126+F178</f>
        <v>190494408.02999997</v>
      </c>
      <c r="G88" s="28">
        <f t="shared" si="34"/>
        <v>185090310.00999999</v>
      </c>
      <c r="H88" s="28">
        <f t="shared" si="34"/>
        <v>185098861.55000001</v>
      </c>
      <c r="I88" s="29"/>
    </row>
    <row r="89" spans="1:12" s="11" customFormat="1" x14ac:dyDescent="0.25">
      <c r="A89" s="67"/>
      <c r="B89" s="67"/>
      <c r="C89" s="56"/>
      <c r="D89" s="34" t="s">
        <v>12</v>
      </c>
      <c r="E89" s="28">
        <f>E94+E98+E102+E106+E110+E114+E119+E123+E131+E135+E139+E143+E147+E151+E155+E159+E171+E175+E184+E188+E127+E179</f>
        <v>41565378.620000012</v>
      </c>
      <c r="F89" s="28">
        <f t="shared" ref="F89:H89" si="35">F94+F98+F102+F106+F110+F114+F119+F123+F131+F135+F139+F143+F147+F151+F155+F159+F171+F175+F184+F188+F127+F179</f>
        <v>37564700.699999988</v>
      </c>
      <c r="G89" s="28">
        <f t="shared" si="35"/>
        <v>22278358.359999999</v>
      </c>
      <c r="H89" s="28">
        <f t="shared" si="35"/>
        <v>22318061.390000001</v>
      </c>
      <c r="I89" s="29"/>
      <c r="L89" s="25"/>
    </row>
    <row r="90" spans="1:12" s="11" customFormat="1" x14ac:dyDescent="0.25">
      <c r="A90" s="71" t="s">
        <v>23</v>
      </c>
      <c r="B90" s="72"/>
      <c r="C90" s="72"/>
      <c r="D90" s="72"/>
      <c r="E90" s="72"/>
      <c r="F90" s="72"/>
      <c r="G90" s="72"/>
      <c r="H90" s="72"/>
      <c r="I90" s="73"/>
    </row>
    <row r="91" spans="1:12" x14ac:dyDescent="0.25">
      <c r="A91" s="48">
        <v>1</v>
      </c>
      <c r="B91" s="57" t="s">
        <v>60</v>
      </c>
      <c r="C91" s="54" t="s">
        <v>73</v>
      </c>
      <c r="D91" s="19" t="s">
        <v>13</v>
      </c>
      <c r="E91" s="20">
        <f>SUM(E92:E94)</f>
        <v>40233258.940000005</v>
      </c>
      <c r="F91" s="20">
        <f t="shared" ref="F91:I91" si="36">SUM(F92:F94)</f>
        <v>35687956.619999997</v>
      </c>
      <c r="G91" s="20">
        <f t="shared" si="36"/>
        <v>21704884</v>
      </c>
      <c r="H91" s="20">
        <f t="shared" si="36"/>
        <v>21704884</v>
      </c>
      <c r="I91" s="20">
        <f t="shared" si="36"/>
        <v>0</v>
      </c>
    </row>
    <row r="92" spans="1:12" x14ac:dyDescent="0.25">
      <c r="A92" s="49"/>
      <c r="B92" s="58"/>
      <c r="C92" s="55"/>
      <c r="D92" s="33" t="s">
        <v>7</v>
      </c>
      <c r="E92" s="21"/>
      <c r="F92" s="21"/>
      <c r="G92" s="22"/>
      <c r="H92" s="22"/>
      <c r="I92" s="22"/>
    </row>
    <row r="93" spans="1:12" x14ac:dyDescent="0.25">
      <c r="A93" s="49"/>
      <c r="B93" s="58"/>
      <c r="C93" s="55"/>
      <c r="D93" s="33" t="s">
        <v>11</v>
      </c>
      <c r="E93" s="21"/>
      <c r="F93" s="21"/>
      <c r="G93" s="22"/>
      <c r="H93" s="22"/>
      <c r="I93" s="22"/>
    </row>
    <row r="94" spans="1:12" x14ac:dyDescent="0.25">
      <c r="A94" s="49"/>
      <c r="B94" s="58"/>
      <c r="C94" s="56"/>
      <c r="D94" s="32" t="s">
        <v>12</v>
      </c>
      <c r="E94" s="21">
        <f>40180754-0.01-540000+500000-295758-552350+43041.08-56257.58+953829.45</f>
        <v>40233258.940000005</v>
      </c>
      <c r="F94" s="21">
        <f>33100000-15000-53235.28-3300000-900000-1593.94+5728569.64+1021071.2+108145</f>
        <v>35687956.619999997</v>
      </c>
      <c r="G94" s="23">
        <v>21704884</v>
      </c>
      <c r="H94" s="23">
        <v>21704884</v>
      </c>
      <c r="I94" s="23"/>
      <c r="K94" s="30"/>
    </row>
    <row r="95" spans="1:12" ht="16.95" customHeight="1" x14ac:dyDescent="0.25">
      <c r="A95" s="48">
        <v>2</v>
      </c>
      <c r="B95" s="57" t="s">
        <v>14</v>
      </c>
      <c r="C95" s="54" t="s">
        <v>73</v>
      </c>
      <c r="D95" s="19" t="s">
        <v>13</v>
      </c>
      <c r="E95" s="20">
        <f>SUM(E96:E98)</f>
        <v>168760390.72999999</v>
      </c>
      <c r="F95" s="20">
        <f t="shared" ref="F95:I95" si="37">SUM(F96:F98)</f>
        <v>181240999.91999999</v>
      </c>
      <c r="G95" s="20">
        <f t="shared" si="37"/>
        <v>178667294</v>
      </c>
      <c r="H95" s="20">
        <f t="shared" si="37"/>
        <v>178667294</v>
      </c>
      <c r="I95" s="20">
        <f t="shared" si="37"/>
        <v>0</v>
      </c>
    </row>
    <row r="96" spans="1:12" ht="16.95" customHeight="1" x14ac:dyDescent="0.25">
      <c r="A96" s="49"/>
      <c r="B96" s="58"/>
      <c r="C96" s="55"/>
      <c r="D96" s="33" t="s">
        <v>7</v>
      </c>
      <c r="E96" s="21"/>
      <c r="F96" s="21"/>
      <c r="G96" s="22"/>
      <c r="H96" s="22"/>
      <c r="I96" s="22"/>
    </row>
    <row r="97" spans="1:11" ht="16.95" customHeight="1" x14ac:dyDescent="0.25">
      <c r="A97" s="49"/>
      <c r="B97" s="58"/>
      <c r="C97" s="55"/>
      <c r="D97" s="33" t="s">
        <v>11</v>
      </c>
      <c r="E97" s="21">
        <f>164212248-3894252+1949700+6492694.73</f>
        <v>168760390.72999999</v>
      </c>
      <c r="F97" s="21">
        <f>178667294-6990894.08+2195500+7369100</f>
        <v>181240999.91999999</v>
      </c>
      <c r="G97" s="22">
        <v>178667294</v>
      </c>
      <c r="H97" s="22">
        <v>178667294</v>
      </c>
      <c r="I97" s="22"/>
    </row>
    <row r="98" spans="1:11" ht="16.95" customHeight="1" x14ac:dyDescent="0.25">
      <c r="A98" s="50"/>
      <c r="B98" s="59"/>
      <c r="C98" s="56"/>
      <c r="D98" s="32" t="s">
        <v>12</v>
      </c>
      <c r="E98" s="24"/>
      <c r="F98" s="24"/>
      <c r="G98" s="23"/>
      <c r="H98" s="23"/>
      <c r="I98" s="23"/>
    </row>
    <row r="99" spans="1:11" ht="33.75" customHeight="1" x14ac:dyDescent="0.25">
      <c r="A99" s="48">
        <v>3</v>
      </c>
      <c r="B99" s="57" t="s">
        <v>24</v>
      </c>
      <c r="C99" s="54" t="s">
        <v>73</v>
      </c>
      <c r="D99" s="19" t="s">
        <v>13</v>
      </c>
      <c r="E99" s="20">
        <f>SUM(E100:E102)</f>
        <v>14925600</v>
      </c>
      <c r="F99" s="20">
        <f t="shared" ref="F99:I99" si="38">SUM(F100:F102)</f>
        <v>15555500</v>
      </c>
      <c r="G99" s="20">
        <f t="shared" si="38"/>
        <v>15555500</v>
      </c>
      <c r="H99" s="20">
        <f t="shared" si="38"/>
        <v>16508100</v>
      </c>
      <c r="I99" s="20">
        <f t="shared" si="38"/>
        <v>0</v>
      </c>
    </row>
    <row r="100" spans="1:11" ht="33.75" customHeight="1" x14ac:dyDescent="0.25">
      <c r="A100" s="49"/>
      <c r="B100" s="58"/>
      <c r="C100" s="55"/>
      <c r="D100" s="33" t="s">
        <v>7</v>
      </c>
      <c r="E100" s="21">
        <v>14925600</v>
      </c>
      <c r="F100" s="21">
        <v>15555500</v>
      </c>
      <c r="G100" s="22">
        <v>15555500</v>
      </c>
      <c r="H100" s="22">
        <v>16508100</v>
      </c>
      <c r="I100" s="22"/>
    </row>
    <row r="101" spans="1:11" ht="33.75" customHeight="1" x14ac:dyDescent="0.25">
      <c r="A101" s="49"/>
      <c r="B101" s="58"/>
      <c r="C101" s="55"/>
      <c r="D101" s="33" t="s">
        <v>11</v>
      </c>
      <c r="E101" s="21"/>
      <c r="F101" s="21"/>
      <c r="G101" s="22"/>
      <c r="H101" s="22"/>
      <c r="I101" s="22"/>
    </row>
    <row r="102" spans="1:11" ht="33.75" customHeight="1" x14ac:dyDescent="0.25">
      <c r="A102" s="50"/>
      <c r="B102" s="59"/>
      <c r="C102" s="56"/>
      <c r="D102" s="32" t="s">
        <v>12</v>
      </c>
      <c r="E102" s="24"/>
      <c r="F102" s="24"/>
      <c r="G102" s="23"/>
      <c r="H102" s="23"/>
      <c r="I102" s="23"/>
    </row>
    <row r="103" spans="1:11" ht="19.8" customHeight="1" x14ac:dyDescent="0.25">
      <c r="A103" s="48">
        <v>4</v>
      </c>
      <c r="B103" s="57" t="s">
        <v>75</v>
      </c>
      <c r="C103" s="54" t="s">
        <v>73</v>
      </c>
      <c r="D103" s="19" t="s">
        <v>13</v>
      </c>
      <c r="E103" s="20">
        <f>SUM(E104:E106)</f>
        <v>9285858.5899999999</v>
      </c>
      <c r="F103" s="20">
        <f t="shared" ref="F103:I103" si="39">SUM(F104:F106)</f>
        <v>1912222.23</v>
      </c>
      <c r="G103" s="20">
        <f t="shared" si="39"/>
        <v>1752828.29</v>
      </c>
      <c r="H103" s="20">
        <f t="shared" si="39"/>
        <v>1752828.29</v>
      </c>
      <c r="I103" s="20">
        <f t="shared" si="39"/>
        <v>0</v>
      </c>
    </row>
    <row r="104" spans="1:11" ht="19.8" customHeight="1" x14ac:dyDescent="0.25">
      <c r="A104" s="49"/>
      <c r="B104" s="58"/>
      <c r="C104" s="55"/>
      <c r="D104" s="33" t="s">
        <v>7</v>
      </c>
      <c r="E104" s="21"/>
      <c r="F104" s="21"/>
      <c r="G104" s="22"/>
      <c r="H104" s="22"/>
      <c r="I104" s="22"/>
    </row>
    <row r="105" spans="1:11" ht="19.8" customHeight="1" x14ac:dyDescent="0.25">
      <c r="A105" s="49"/>
      <c r="B105" s="58"/>
      <c r="C105" s="55"/>
      <c r="D105" s="33" t="s">
        <v>11</v>
      </c>
      <c r="E105" s="21">
        <f>2841200+1216800+5135000</f>
        <v>9193000</v>
      </c>
      <c r="F105" s="21">
        <f>1735300+157800</f>
        <v>1893100</v>
      </c>
      <c r="G105" s="21">
        <v>1735300</v>
      </c>
      <c r="H105" s="22">
        <v>1735300</v>
      </c>
      <c r="I105" s="22"/>
    </row>
    <row r="106" spans="1:11" ht="19.8" customHeight="1" x14ac:dyDescent="0.25">
      <c r="A106" s="50"/>
      <c r="B106" s="59"/>
      <c r="C106" s="56"/>
      <c r="D106" s="32" t="s">
        <v>12</v>
      </c>
      <c r="E106" s="24">
        <f>28698.98+12290.91+51868.69+0.01</f>
        <v>92858.59</v>
      </c>
      <c r="F106" s="24">
        <f>17528.29+1593.94</f>
        <v>19122.23</v>
      </c>
      <c r="G106" s="24">
        <v>17528.29</v>
      </c>
      <c r="H106" s="23">
        <v>17528.29</v>
      </c>
      <c r="I106" s="23"/>
      <c r="K106" s="30"/>
    </row>
    <row r="107" spans="1:11" s="17" customFormat="1" ht="24.15" customHeight="1" x14ac:dyDescent="0.25">
      <c r="A107" s="48">
        <v>5</v>
      </c>
      <c r="B107" s="61" t="s">
        <v>25</v>
      </c>
      <c r="C107" s="54" t="s">
        <v>73</v>
      </c>
      <c r="D107" s="19" t="s">
        <v>13</v>
      </c>
      <c r="E107" s="20">
        <f>SUM(E108:E110)</f>
        <v>330539.3</v>
      </c>
      <c r="F107" s="20">
        <f t="shared" ref="F107:I107" si="40">SUM(F108:F110)</f>
        <v>350200</v>
      </c>
      <c r="G107" s="20">
        <f t="shared" si="40"/>
        <v>350200</v>
      </c>
      <c r="H107" s="20">
        <f t="shared" si="40"/>
        <v>350200</v>
      </c>
      <c r="I107" s="20">
        <f t="shared" si="40"/>
        <v>0</v>
      </c>
    </row>
    <row r="108" spans="1:11" s="17" customFormat="1" ht="24.15" customHeight="1" x14ac:dyDescent="0.25">
      <c r="A108" s="49"/>
      <c r="B108" s="61"/>
      <c r="C108" s="55"/>
      <c r="D108" s="33" t="s">
        <v>7</v>
      </c>
      <c r="E108" s="21"/>
      <c r="F108" s="21"/>
      <c r="G108" s="22"/>
      <c r="H108" s="22"/>
      <c r="I108" s="22"/>
    </row>
    <row r="109" spans="1:11" s="17" customFormat="1" ht="24.15" customHeight="1" x14ac:dyDescent="0.25">
      <c r="A109" s="49"/>
      <c r="B109" s="61"/>
      <c r="C109" s="55"/>
      <c r="D109" s="33" t="s">
        <v>11</v>
      </c>
      <c r="E109" s="21">
        <f>303000+1200+25000+1339.3</f>
        <v>330539.3</v>
      </c>
      <c r="F109" s="21">
        <v>350200</v>
      </c>
      <c r="G109" s="22">
        <v>350200</v>
      </c>
      <c r="H109" s="22">
        <v>350200</v>
      </c>
      <c r="I109" s="22"/>
    </row>
    <row r="110" spans="1:11" s="17" customFormat="1" ht="24.15" customHeight="1" x14ac:dyDescent="0.25">
      <c r="A110" s="50"/>
      <c r="B110" s="61"/>
      <c r="C110" s="56"/>
      <c r="D110" s="32" t="s">
        <v>12</v>
      </c>
      <c r="E110" s="24"/>
      <c r="F110" s="24"/>
      <c r="G110" s="23"/>
      <c r="H110" s="23"/>
      <c r="I110" s="23"/>
    </row>
    <row r="111" spans="1:11" s="17" customFormat="1" ht="16.8" customHeight="1" x14ac:dyDescent="0.25">
      <c r="A111" s="48">
        <v>6</v>
      </c>
      <c r="B111" s="61" t="s">
        <v>63</v>
      </c>
      <c r="C111" s="54" t="s">
        <v>73</v>
      </c>
      <c r="D111" s="19" t="s">
        <v>13</v>
      </c>
      <c r="E111" s="20">
        <f>SUM(E112:E114)</f>
        <v>9579696.9700000007</v>
      </c>
      <c r="F111" s="20">
        <f t="shared" ref="F111:I111" si="41">SUM(F112:F114)</f>
        <v>9606565.6600000001</v>
      </c>
      <c r="G111" s="20">
        <f t="shared" si="41"/>
        <v>9146161.6199999992</v>
      </c>
      <c r="H111" s="20">
        <f t="shared" si="41"/>
        <v>9398686.8699999992</v>
      </c>
      <c r="I111" s="20">
        <f t="shared" si="41"/>
        <v>0</v>
      </c>
    </row>
    <row r="112" spans="1:11" s="17" customFormat="1" ht="16.8" customHeight="1" x14ac:dyDescent="0.25">
      <c r="A112" s="49"/>
      <c r="B112" s="61"/>
      <c r="C112" s="55"/>
      <c r="D112" s="33" t="s">
        <v>7</v>
      </c>
      <c r="E112" s="21">
        <v>6638729.6600000001</v>
      </c>
      <c r="F112" s="21">
        <f>6847561.46-1.47</f>
        <v>6847559.9900000002</v>
      </c>
      <c r="G112" s="22">
        <f>6519385.26-1.27</f>
        <v>6519383.9900000002</v>
      </c>
      <c r="H112" s="22">
        <f>6699385.19-1.19</f>
        <v>6699384</v>
      </c>
      <c r="I112" s="22"/>
    </row>
    <row r="113" spans="1:9" s="17" customFormat="1" ht="16.8" customHeight="1" x14ac:dyDescent="0.25">
      <c r="A113" s="49"/>
      <c r="B113" s="61"/>
      <c r="C113" s="55"/>
      <c r="D113" s="33" t="s">
        <v>11</v>
      </c>
      <c r="E113" s="21">
        <v>2845170.34</v>
      </c>
      <c r="F113" s="21">
        <f>2662938.54+1.47</f>
        <v>2662940.0100000002</v>
      </c>
      <c r="G113" s="22">
        <f>2535314.74+1.27</f>
        <v>2535316.0100000002</v>
      </c>
      <c r="H113" s="22">
        <f>2605314.81+1.19</f>
        <v>2605316</v>
      </c>
      <c r="I113" s="22"/>
    </row>
    <row r="114" spans="1:9" s="17" customFormat="1" ht="16.8" customHeight="1" x14ac:dyDescent="0.25">
      <c r="A114" s="50"/>
      <c r="B114" s="61"/>
      <c r="C114" s="56"/>
      <c r="D114" s="32" t="s">
        <v>12</v>
      </c>
      <c r="E114" s="24">
        <v>95796.97</v>
      </c>
      <c r="F114" s="24">
        <v>96065.66</v>
      </c>
      <c r="G114" s="23">
        <v>91461.62</v>
      </c>
      <c r="H114" s="23">
        <v>93986.87</v>
      </c>
      <c r="I114" s="23"/>
    </row>
    <row r="115" spans="1:9" s="17" customFormat="1" ht="13.95" customHeight="1" x14ac:dyDescent="0.25">
      <c r="A115" s="71" t="s">
        <v>26</v>
      </c>
      <c r="B115" s="72"/>
      <c r="C115" s="72"/>
      <c r="D115" s="72"/>
      <c r="E115" s="72"/>
      <c r="F115" s="72"/>
      <c r="G115" s="72"/>
      <c r="H115" s="72"/>
      <c r="I115" s="73"/>
    </row>
    <row r="116" spans="1:9" s="17" customFormat="1" ht="13.2" x14ac:dyDescent="0.25">
      <c r="A116" s="48">
        <v>7</v>
      </c>
      <c r="B116" s="57" t="s">
        <v>27</v>
      </c>
      <c r="C116" s="54" t="s">
        <v>73</v>
      </c>
      <c r="D116" s="19" t="s">
        <v>13</v>
      </c>
      <c r="E116" s="20">
        <f>SUM(E117:E119)</f>
        <v>235179.17</v>
      </c>
      <c r="F116" s="20">
        <f t="shared" ref="F116:I116" si="42">SUM(F117:F119)</f>
        <v>95794.25</v>
      </c>
      <c r="G116" s="20">
        <f t="shared" si="42"/>
        <v>264240</v>
      </c>
      <c r="H116" s="20">
        <f t="shared" si="42"/>
        <v>264240</v>
      </c>
      <c r="I116" s="20">
        <f t="shared" si="42"/>
        <v>0</v>
      </c>
    </row>
    <row r="117" spans="1:9" s="17" customFormat="1" ht="13.2" x14ac:dyDescent="0.25">
      <c r="A117" s="49"/>
      <c r="B117" s="58"/>
      <c r="C117" s="55"/>
      <c r="D117" s="33" t="s">
        <v>7</v>
      </c>
      <c r="E117" s="21"/>
      <c r="F117" s="21"/>
      <c r="G117" s="22"/>
      <c r="H117" s="22"/>
      <c r="I117" s="22"/>
    </row>
    <row r="118" spans="1:9" s="17" customFormat="1" ht="13.2" x14ac:dyDescent="0.25">
      <c r="A118" s="49"/>
      <c r="B118" s="58"/>
      <c r="C118" s="55"/>
      <c r="D118" s="33" t="s">
        <v>11</v>
      </c>
      <c r="E118" s="21"/>
      <c r="F118" s="21"/>
      <c r="G118" s="22"/>
      <c r="H118" s="22"/>
      <c r="I118" s="22"/>
    </row>
    <row r="119" spans="1:9" s="17" customFormat="1" ht="13.2" x14ac:dyDescent="0.25">
      <c r="A119" s="50"/>
      <c r="B119" s="59"/>
      <c r="C119" s="56"/>
      <c r="D119" s="32" t="s">
        <v>12</v>
      </c>
      <c r="E119" s="24">
        <f>226800+8379.17</f>
        <v>235179.17</v>
      </c>
      <c r="F119" s="24">
        <f>264240-168445.75</f>
        <v>95794.25</v>
      </c>
      <c r="G119" s="23">
        <v>264240</v>
      </c>
      <c r="H119" s="23">
        <v>264240</v>
      </c>
      <c r="I119" s="23"/>
    </row>
    <row r="120" spans="1:9" s="17" customFormat="1" ht="13.2" x14ac:dyDescent="0.25">
      <c r="A120" s="74">
        <v>8</v>
      </c>
      <c r="B120" s="51" t="s">
        <v>28</v>
      </c>
      <c r="C120" s="54" t="s">
        <v>73</v>
      </c>
      <c r="D120" s="19" t="s">
        <v>13</v>
      </c>
      <c r="E120" s="20">
        <f>SUM(E121:E123)</f>
        <v>0</v>
      </c>
      <c r="F120" s="20">
        <f t="shared" ref="F120:I120" si="43">SUM(F121:F123)</f>
        <v>25000</v>
      </c>
      <c r="G120" s="20">
        <f t="shared" si="43"/>
        <v>0</v>
      </c>
      <c r="H120" s="20">
        <f t="shared" si="43"/>
        <v>0</v>
      </c>
      <c r="I120" s="20">
        <f t="shared" si="43"/>
        <v>0</v>
      </c>
    </row>
    <row r="121" spans="1:9" s="17" customFormat="1" ht="13.2" x14ac:dyDescent="0.25">
      <c r="A121" s="75"/>
      <c r="B121" s="52"/>
      <c r="C121" s="55"/>
      <c r="D121" s="33" t="s">
        <v>7</v>
      </c>
      <c r="E121" s="21"/>
      <c r="F121" s="21"/>
      <c r="G121" s="22"/>
      <c r="H121" s="22"/>
      <c r="I121" s="22"/>
    </row>
    <row r="122" spans="1:9" s="17" customFormat="1" ht="13.2" x14ac:dyDescent="0.25">
      <c r="A122" s="75"/>
      <c r="B122" s="52"/>
      <c r="C122" s="55"/>
      <c r="D122" s="33" t="s">
        <v>11</v>
      </c>
      <c r="E122" s="21"/>
      <c r="F122" s="21"/>
      <c r="G122" s="22"/>
      <c r="H122" s="22"/>
      <c r="I122" s="22"/>
    </row>
    <row r="123" spans="1:9" s="17" customFormat="1" ht="13.2" x14ac:dyDescent="0.25">
      <c r="A123" s="76"/>
      <c r="B123" s="53"/>
      <c r="C123" s="56"/>
      <c r="D123" s="32" t="s">
        <v>12</v>
      </c>
      <c r="E123" s="24"/>
      <c r="F123" s="24">
        <v>25000</v>
      </c>
      <c r="G123" s="23"/>
      <c r="H123" s="23"/>
      <c r="I123" s="23"/>
    </row>
    <row r="124" spans="1:9" s="17" customFormat="1" ht="37.049999999999997" customHeight="1" x14ac:dyDescent="0.25">
      <c r="A124" s="74">
        <v>9</v>
      </c>
      <c r="B124" s="51" t="s">
        <v>90</v>
      </c>
      <c r="C124" s="54" t="s">
        <v>73</v>
      </c>
      <c r="D124" s="19" t="s">
        <v>13</v>
      </c>
      <c r="E124" s="20">
        <f>SUM(E125:E127)</f>
        <v>154068.16</v>
      </c>
      <c r="F124" s="20">
        <f t="shared" ref="F124:I124" si="44">SUM(F125:F127)</f>
        <v>750000</v>
      </c>
      <c r="G124" s="20">
        <f t="shared" si="44"/>
        <v>0</v>
      </c>
      <c r="H124" s="20">
        <f t="shared" si="44"/>
        <v>0</v>
      </c>
      <c r="I124" s="20">
        <f t="shared" si="44"/>
        <v>0</v>
      </c>
    </row>
    <row r="125" spans="1:9" s="17" customFormat="1" ht="37.049999999999997" customHeight="1" x14ac:dyDescent="0.25">
      <c r="A125" s="75"/>
      <c r="B125" s="52"/>
      <c r="C125" s="55"/>
      <c r="D125" s="38" t="s">
        <v>7</v>
      </c>
      <c r="E125" s="21"/>
      <c r="F125" s="21"/>
      <c r="G125" s="22"/>
      <c r="H125" s="22"/>
      <c r="I125" s="22"/>
    </row>
    <row r="126" spans="1:9" s="17" customFormat="1" ht="37.049999999999997" customHeight="1" x14ac:dyDescent="0.25">
      <c r="A126" s="75"/>
      <c r="B126" s="52"/>
      <c r="C126" s="55"/>
      <c r="D126" s="38" t="s">
        <v>11</v>
      </c>
      <c r="E126" s="21"/>
      <c r="F126" s="21"/>
      <c r="G126" s="22"/>
      <c r="H126" s="22"/>
      <c r="I126" s="22"/>
    </row>
    <row r="127" spans="1:9" s="17" customFormat="1" ht="37.049999999999997" customHeight="1" x14ac:dyDescent="0.25">
      <c r="A127" s="76"/>
      <c r="B127" s="53"/>
      <c r="C127" s="56"/>
      <c r="D127" s="39" t="s">
        <v>12</v>
      </c>
      <c r="E127" s="24">
        <v>154068.16</v>
      </c>
      <c r="F127" s="24">
        <f>500000+250000</f>
        <v>750000</v>
      </c>
      <c r="G127" s="23"/>
      <c r="H127" s="23"/>
      <c r="I127" s="23"/>
    </row>
    <row r="128" spans="1:9" s="17" customFormat="1" ht="13.2" x14ac:dyDescent="0.25">
      <c r="A128" s="74">
        <v>10</v>
      </c>
      <c r="B128" s="51" t="s">
        <v>91</v>
      </c>
      <c r="C128" s="54" t="s">
        <v>73</v>
      </c>
      <c r="D128" s="19" t="s">
        <v>13</v>
      </c>
      <c r="E128" s="20">
        <f>SUM(E129:E131)</f>
        <v>0</v>
      </c>
      <c r="F128" s="20">
        <f t="shared" ref="F128:I128" si="45">SUM(F129:F131)</f>
        <v>0</v>
      </c>
      <c r="G128" s="20">
        <f t="shared" si="45"/>
        <v>0</v>
      </c>
      <c r="H128" s="20">
        <f t="shared" si="45"/>
        <v>0</v>
      </c>
      <c r="I128" s="20">
        <f t="shared" si="45"/>
        <v>0</v>
      </c>
    </row>
    <row r="129" spans="1:9" s="17" customFormat="1" ht="13.2" x14ac:dyDescent="0.25">
      <c r="A129" s="75"/>
      <c r="B129" s="52"/>
      <c r="C129" s="55"/>
      <c r="D129" s="33" t="s">
        <v>7</v>
      </c>
      <c r="E129" s="21"/>
      <c r="F129" s="21"/>
      <c r="G129" s="22"/>
      <c r="H129" s="22"/>
      <c r="I129" s="22"/>
    </row>
    <row r="130" spans="1:9" s="17" customFormat="1" ht="13.2" x14ac:dyDescent="0.25">
      <c r="A130" s="75"/>
      <c r="B130" s="52"/>
      <c r="C130" s="55"/>
      <c r="D130" s="33" t="s">
        <v>11</v>
      </c>
      <c r="E130" s="21"/>
      <c r="F130" s="21"/>
      <c r="G130" s="22"/>
      <c r="H130" s="22"/>
      <c r="I130" s="22"/>
    </row>
    <row r="131" spans="1:9" s="17" customFormat="1" ht="13.2" x14ac:dyDescent="0.25">
      <c r="A131" s="76"/>
      <c r="B131" s="53"/>
      <c r="C131" s="56"/>
      <c r="D131" s="32" t="s">
        <v>12</v>
      </c>
      <c r="E131" s="24"/>
      <c r="F131" s="24"/>
      <c r="G131" s="23"/>
      <c r="H131" s="23"/>
      <c r="I131" s="23"/>
    </row>
    <row r="132" spans="1:9" s="17" customFormat="1" ht="13.2" x14ac:dyDescent="0.25">
      <c r="A132" s="48">
        <v>11</v>
      </c>
      <c r="B132" s="57" t="s">
        <v>92</v>
      </c>
      <c r="C132" s="54" t="s">
        <v>73</v>
      </c>
      <c r="D132" s="19" t="s">
        <v>13</v>
      </c>
      <c r="E132" s="20">
        <f>SUM(E133:E135)</f>
        <v>6108834.4799999995</v>
      </c>
      <c r="F132" s="20">
        <f t="shared" ref="F132:I132" si="46">SUM(F133:F135)</f>
        <v>4078520.11</v>
      </c>
      <c r="G132" s="20">
        <f t="shared" si="46"/>
        <v>2002444.45</v>
      </c>
      <c r="H132" s="20">
        <f t="shared" si="46"/>
        <v>2374222.23</v>
      </c>
      <c r="I132" s="20">
        <f t="shared" si="46"/>
        <v>0</v>
      </c>
    </row>
    <row r="133" spans="1:9" s="17" customFormat="1" ht="13.2" x14ac:dyDescent="0.25">
      <c r="A133" s="49"/>
      <c r="B133" s="58"/>
      <c r="C133" s="55"/>
      <c r="D133" s="33" t="s">
        <v>7</v>
      </c>
      <c r="E133" s="21"/>
      <c r="F133" s="21"/>
      <c r="G133" s="22"/>
      <c r="H133" s="22">
        <v>396048.45</v>
      </c>
      <c r="I133" s="22"/>
    </row>
    <row r="134" spans="1:9" s="17" customFormat="1" ht="13.2" x14ac:dyDescent="0.25">
      <c r="A134" s="49"/>
      <c r="B134" s="58"/>
      <c r="C134" s="55"/>
      <c r="D134" s="33" t="s">
        <v>11</v>
      </c>
      <c r="E134" s="21">
        <f>1957200+3540751.03</f>
        <v>5497951.0299999993</v>
      </c>
      <c r="F134" s="21">
        <f>775718.1+36000+1754600+1104350</f>
        <v>3670668.1</v>
      </c>
      <c r="G134" s="22">
        <f>1802200</f>
        <v>1802200</v>
      </c>
      <c r="H134" s="22">
        <f>1719900+20851.55</f>
        <v>1740751.55</v>
      </c>
      <c r="I134" s="22"/>
    </row>
    <row r="135" spans="1:9" s="17" customFormat="1" ht="13.2" x14ac:dyDescent="0.25">
      <c r="A135" s="49"/>
      <c r="B135" s="59"/>
      <c r="C135" s="56"/>
      <c r="D135" s="32" t="s">
        <v>12</v>
      </c>
      <c r="E135" s="24">
        <f>217466.67+393416.78</f>
        <v>610883.45000000007</v>
      </c>
      <c r="F135" s="24">
        <f>86190.9+194955.56+4000+122705.55</f>
        <v>407852.00999999995</v>
      </c>
      <c r="G135" s="23">
        <f>200244.45</f>
        <v>200244.45</v>
      </c>
      <c r="H135" s="23">
        <f>191100+46322.23</f>
        <v>237422.23</v>
      </c>
      <c r="I135" s="23"/>
    </row>
    <row r="136" spans="1:9" s="17" customFormat="1" ht="13.2" x14ac:dyDescent="0.25">
      <c r="A136" s="60">
        <v>12</v>
      </c>
      <c r="B136" s="57" t="s">
        <v>93</v>
      </c>
      <c r="C136" s="54" t="s">
        <v>73</v>
      </c>
      <c r="D136" s="19" t="s">
        <v>13</v>
      </c>
      <c r="E136" s="20">
        <f>SUM(E137:E139)</f>
        <v>0</v>
      </c>
      <c r="F136" s="20">
        <f t="shared" ref="F136:I136" si="47">SUM(F137:F139)</f>
        <v>0</v>
      </c>
      <c r="G136" s="20">
        <f t="shared" si="47"/>
        <v>0</v>
      </c>
      <c r="H136" s="20">
        <f t="shared" si="47"/>
        <v>0</v>
      </c>
      <c r="I136" s="20">
        <f t="shared" si="47"/>
        <v>0</v>
      </c>
    </row>
    <row r="137" spans="1:9" s="17" customFormat="1" ht="13.2" x14ac:dyDescent="0.25">
      <c r="A137" s="60"/>
      <c r="B137" s="58"/>
      <c r="C137" s="55"/>
      <c r="D137" s="33" t="s">
        <v>7</v>
      </c>
      <c r="E137" s="21"/>
      <c r="F137" s="21"/>
      <c r="G137" s="22"/>
      <c r="H137" s="22"/>
      <c r="I137" s="22"/>
    </row>
    <row r="138" spans="1:9" s="17" customFormat="1" ht="13.2" x14ac:dyDescent="0.25">
      <c r="A138" s="60"/>
      <c r="B138" s="58"/>
      <c r="C138" s="55"/>
      <c r="D138" s="33" t="s">
        <v>11</v>
      </c>
      <c r="E138" s="21"/>
      <c r="F138" s="21"/>
      <c r="G138" s="22"/>
      <c r="H138" s="22"/>
      <c r="I138" s="22"/>
    </row>
    <row r="139" spans="1:9" s="17" customFormat="1" ht="13.2" x14ac:dyDescent="0.25">
      <c r="A139" s="60"/>
      <c r="B139" s="59"/>
      <c r="C139" s="56"/>
      <c r="D139" s="32" t="s">
        <v>12</v>
      </c>
      <c r="E139" s="24"/>
      <c r="F139" s="24"/>
      <c r="G139" s="23"/>
      <c r="H139" s="23"/>
      <c r="I139" s="23"/>
    </row>
    <row r="140" spans="1:9" s="17" customFormat="1" ht="13.2" x14ac:dyDescent="0.25">
      <c r="A140" s="60">
        <v>13</v>
      </c>
      <c r="B140" s="57" t="s">
        <v>94</v>
      </c>
      <c r="C140" s="54" t="s">
        <v>73</v>
      </c>
      <c r="D140" s="19" t="s">
        <v>13</v>
      </c>
      <c r="E140" s="20">
        <f>SUM(E141:E143)</f>
        <v>0</v>
      </c>
      <c r="F140" s="20">
        <f t="shared" ref="F140:I140" si="48">SUM(F141:F143)</f>
        <v>0</v>
      </c>
      <c r="G140" s="20">
        <f t="shared" si="48"/>
        <v>0</v>
      </c>
      <c r="H140" s="20">
        <f t="shared" si="48"/>
        <v>0</v>
      </c>
      <c r="I140" s="20">
        <f t="shared" si="48"/>
        <v>0</v>
      </c>
    </row>
    <row r="141" spans="1:9" s="17" customFormat="1" ht="13.2" x14ac:dyDescent="0.25">
      <c r="A141" s="60"/>
      <c r="B141" s="58"/>
      <c r="C141" s="55"/>
      <c r="D141" s="33" t="s">
        <v>7</v>
      </c>
      <c r="E141" s="21"/>
      <c r="F141" s="21"/>
      <c r="G141" s="22"/>
      <c r="H141" s="22"/>
      <c r="I141" s="22"/>
    </row>
    <row r="142" spans="1:9" s="17" customFormat="1" ht="13.2" x14ac:dyDescent="0.25">
      <c r="A142" s="60"/>
      <c r="B142" s="58"/>
      <c r="C142" s="55"/>
      <c r="D142" s="33" t="s">
        <v>11</v>
      </c>
      <c r="E142" s="21"/>
      <c r="F142" s="21"/>
      <c r="G142" s="22"/>
      <c r="H142" s="22"/>
      <c r="I142" s="22"/>
    </row>
    <row r="143" spans="1:9" s="17" customFormat="1" ht="13.2" x14ac:dyDescent="0.25">
      <c r="A143" s="60"/>
      <c r="B143" s="59"/>
      <c r="C143" s="56"/>
      <c r="D143" s="32" t="s">
        <v>12</v>
      </c>
      <c r="E143" s="24"/>
      <c r="F143" s="24"/>
      <c r="G143" s="23"/>
      <c r="H143" s="23"/>
      <c r="I143" s="23"/>
    </row>
    <row r="144" spans="1:9" s="17" customFormat="1" ht="13.2" x14ac:dyDescent="0.25">
      <c r="A144" s="60">
        <v>14</v>
      </c>
      <c r="B144" s="57" t="s">
        <v>95</v>
      </c>
      <c r="C144" s="54" t="s">
        <v>73</v>
      </c>
      <c r="D144" s="19" t="s">
        <v>13</v>
      </c>
      <c r="E144" s="20">
        <f t="shared" ref="E144:I144" si="49">SUM(E145:E147)</f>
        <v>0</v>
      </c>
      <c r="F144" s="20">
        <f t="shared" si="49"/>
        <v>0</v>
      </c>
      <c r="G144" s="20">
        <f t="shared" si="49"/>
        <v>0</v>
      </c>
      <c r="H144" s="20">
        <f t="shared" si="49"/>
        <v>0</v>
      </c>
      <c r="I144" s="20">
        <f t="shared" si="49"/>
        <v>0</v>
      </c>
    </row>
    <row r="145" spans="1:9" s="17" customFormat="1" ht="13.2" x14ac:dyDescent="0.25">
      <c r="A145" s="60"/>
      <c r="B145" s="58"/>
      <c r="C145" s="55"/>
      <c r="D145" s="33" t="s">
        <v>7</v>
      </c>
      <c r="E145" s="21"/>
      <c r="F145" s="21"/>
      <c r="G145" s="22"/>
      <c r="H145" s="22"/>
      <c r="I145" s="22"/>
    </row>
    <row r="146" spans="1:9" s="17" customFormat="1" ht="13.2" x14ac:dyDescent="0.25">
      <c r="A146" s="60"/>
      <c r="B146" s="58"/>
      <c r="C146" s="55"/>
      <c r="D146" s="33" t="s">
        <v>11</v>
      </c>
      <c r="E146" s="21"/>
      <c r="F146" s="21"/>
      <c r="G146" s="22"/>
      <c r="H146" s="22"/>
      <c r="I146" s="22"/>
    </row>
    <row r="147" spans="1:9" s="17" customFormat="1" ht="13.2" x14ac:dyDescent="0.25">
      <c r="A147" s="60"/>
      <c r="B147" s="59"/>
      <c r="C147" s="56"/>
      <c r="D147" s="32" t="s">
        <v>12</v>
      </c>
      <c r="E147" s="24"/>
      <c r="F147" s="24"/>
      <c r="G147" s="23"/>
      <c r="H147" s="23"/>
      <c r="I147" s="23"/>
    </row>
    <row r="148" spans="1:9" s="17" customFormat="1" ht="13.2" x14ac:dyDescent="0.25">
      <c r="A148" s="60">
        <v>15</v>
      </c>
      <c r="B148" s="57" t="s">
        <v>96</v>
      </c>
      <c r="C148" s="54" t="s">
        <v>73</v>
      </c>
      <c r="D148" s="19" t="s">
        <v>13</v>
      </c>
      <c r="E148" s="20">
        <f t="shared" ref="E148:I148" si="50">SUM(E149:E151)</f>
        <v>0</v>
      </c>
      <c r="F148" s="20">
        <f t="shared" si="50"/>
        <v>0</v>
      </c>
      <c r="G148" s="20">
        <f t="shared" si="50"/>
        <v>0</v>
      </c>
      <c r="H148" s="20">
        <f t="shared" si="50"/>
        <v>0</v>
      </c>
      <c r="I148" s="20">
        <f t="shared" si="50"/>
        <v>0</v>
      </c>
    </row>
    <row r="149" spans="1:9" s="17" customFormat="1" ht="13.2" x14ac:dyDescent="0.25">
      <c r="A149" s="60"/>
      <c r="B149" s="58"/>
      <c r="C149" s="55"/>
      <c r="D149" s="33" t="s">
        <v>7</v>
      </c>
      <c r="E149" s="21"/>
      <c r="F149" s="21"/>
      <c r="G149" s="22"/>
      <c r="H149" s="22"/>
      <c r="I149" s="22"/>
    </row>
    <row r="150" spans="1:9" s="17" customFormat="1" ht="13.2" x14ac:dyDescent="0.25">
      <c r="A150" s="60"/>
      <c r="B150" s="58"/>
      <c r="C150" s="55"/>
      <c r="D150" s="33" t="s">
        <v>11</v>
      </c>
      <c r="E150" s="21"/>
      <c r="F150" s="21"/>
      <c r="G150" s="22"/>
      <c r="H150" s="22"/>
      <c r="I150" s="22"/>
    </row>
    <row r="151" spans="1:9" s="17" customFormat="1" ht="13.2" x14ac:dyDescent="0.25">
      <c r="A151" s="60"/>
      <c r="B151" s="59"/>
      <c r="C151" s="56"/>
      <c r="D151" s="32" t="s">
        <v>12</v>
      </c>
      <c r="E151" s="24"/>
      <c r="F151" s="24"/>
      <c r="G151" s="23"/>
      <c r="H151" s="23"/>
      <c r="I151" s="23"/>
    </row>
    <row r="152" spans="1:9" s="17" customFormat="1" ht="13.2" x14ac:dyDescent="0.25">
      <c r="A152" s="60">
        <v>16</v>
      </c>
      <c r="B152" s="57" t="s">
        <v>97</v>
      </c>
      <c r="C152" s="54" t="s">
        <v>73</v>
      </c>
      <c r="D152" s="19" t="s">
        <v>13</v>
      </c>
      <c r="E152" s="20">
        <f t="shared" ref="E152:I152" si="51">SUM(E153:E155)</f>
        <v>0</v>
      </c>
      <c r="F152" s="20">
        <f t="shared" si="51"/>
        <v>0</v>
      </c>
      <c r="G152" s="20">
        <f t="shared" si="51"/>
        <v>0</v>
      </c>
      <c r="H152" s="20">
        <f t="shared" si="51"/>
        <v>0</v>
      </c>
      <c r="I152" s="20">
        <f t="shared" si="51"/>
        <v>0</v>
      </c>
    </row>
    <row r="153" spans="1:9" s="17" customFormat="1" ht="13.2" x14ac:dyDescent="0.25">
      <c r="A153" s="60"/>
      <c r="B153" s="58"/>
      <c r="C153" s="55"/>
      <c r="D153" s="33" t="s">
        <v>7</v>
      </c>
      <c r="E153" s="21"/>
      <c r="F153" s="21"/>
      <c r="G153" s="22"/>
      <c r="H153" s="22"/>
      <c r="I153" s="22"/>
    </row>
    <row r="154" spans="1:9" s="17" customFormat="1" ht="13.2" x14ac:dyDescent="0.25">
      <c r="A154" s="60"/>
      <c r="B154" s="58"/>
      <c r="C154" s="55"/>
      <c r="D154" s="33" t="s">
        <v>11</v>
      </c>
      <c r="E154" s="21"/>
      <c r="F154" s="21"/>
      <c r="G154" s="22"/>
      <c r="H154" s="22"/>
      <c r="I154" s="22"/>
    </row>
    <row r="155" spans="1:9" s="17" customFormat="1" ht="13.2" x14ac:dyDescent="0.25">
      <c r="A155" s="60"/>
      <c r="B155" s="59"/>
      <c r="C155" s="56"/>
      <c r="D155" s="32" t="s">
        <v>12</v>
      </c>
      <c r="E155" s="24"/>
      <c r="F155" s="24"/>
      <c r="G155" s="23"/>
      <c r="H155" s="23"/>
      <c r="I155" s="23"/>
    </row>
    <row r="156" spans="1:9" s="17" customFormat="1" ht="13.2" x14ac:dyDescent="0.25">
      <c r="A156" s="60">
        <v>17</v>
      </c>
      <c r="B156" s="57" t="s">
        <v>98</v>
      </c>
      <c r="C156" s="54" t="s">
        <v>73</v>
      </c>
      <c r="D156" s="19" t="s">
        <v>13</v>
      </c>
      <c r="E156" s="20">
        <f t="shared" ref="E156:I156" si="52">SUM(E157:E159)</f>
        <v>1433333.34</v>
      </c>
      <c r="F156" s="20">
        <f t="shared" si="52"/>
        <v>751666.67</v>
      </c>
      <c r="G156" s="20">
        <f t="shared" si="52"/>
        <v>0</v>
      </c>
      <c r="H156" s="20">
        <f t="shared" si="52"/>
        <v>0</v>
      </c>
      <c r="I156" s="20">
        <f t="shared" si="52"/>
        <v>0</v>
      </c>
    </row>
    <row r="157" spans="1:9" s="17" customFormat="1" ht="13.2" x14ac:dyDescent="0.25">
      <c r="A157" s="60"/>
      <c r="B157" s="58"/>
      <c r="C157" s="55"/>
      <c r="D157" s="33" t="s">
        <v>7</v>
      </c>
      <c r="E157" s="21"/>
      <c r="F157" s="21"/>
      <c r="G157" s="22"/>
      <c r="H157" s="22"/>
      <c r="I157" s="22"/>
    </row>
    <row r="158" spans="1:9" s="17" customFormat="1" ht="13.2" x14ac:dyDescent="0.25">
      <c r="A158" s="60"/>
      <c r="B158" s="58"/>
      <c r="C158" s="55"/>
      <c r="D158" s="33" t="s">
        <v>11</v>
      </c>
      <c r="E158" s="21">
        <f>E162+E166</f>
        <v>1290000</v>
      </c>
      <c r="F158" s="21">
        <f>F162+F166</f>
        <v>676500</v>
      </c>
      <c r="G158" s="22"/>
      <c r="H158" s="22"/>
      <c r="I158" s="22"/>
    </row>
    <row r="159" spans="1:9" s="17" customFormat="1" ht="13.2" x14ac:dyDescent="0.25">
      <c r="A159" s="60"/>
      <c r="B159" s="59"/>
      <c r="C159" s="56"/>
      <c r="D159" s="32" t="s">
        <v>12</v>
      </c>
      <c r="E159" s="24">
        <f>E163+E167</f>
        <v>143333.34</v>
      </c>
      <c r="F159" s="24">
        <f>F163+F167</f>
        <v>75166.67</v>
      </c>
      <c r="G159" s="23"/>
      <c r="H159" s="23"/>
      <c r="I159" s="23"/>
    </row>
    <row r="160" spans="1:9" s="17" customFormat="1" ht="13.2" x14ac:dyDescent="0.25">
      <c r="A160" s="77" t="s">
        <v>88</v>
      </c>
      <c r="B160" s="57" t="s">
        <v>99</v>
      </c>
      <c r="C160" s="54" t="s">
        <v>73</v>
      </c>
      <c r="D160" s="19" t="s">
        <v>13</v>
      </c>
      <c r="E160" s="20">
        <f t="shared" ref="E160:I160" si="53">SUM(E161:E163)</f>
        <v>1333333.3400000001</v>
      </c>
      <c r="F160" s="20">
        <f t="shared" si="53"/>
        <v>666666.67000000004</v>
      </c>
      <c r="G160" s="20">
        <f t="shared" si="53"/>
        <v>0</v>
      </c>
      <c r="H160" s="20">
        <f t="shared" si="53"/>
        <v>0</v>
      </c>
      <c r="I160" s="20">
        <f t="shared" si="53"/>
        <v>0</v>
      </c>
    </row>
    <row r="161" spans="1:9" s="17" customFormat="1" ht="13.2" x14ac:dyDescent="0.25">
      <c r="A161" s="78"/>
      <c r="B161" s="58"/>
      <c r="C161" s="55"/>
      <c r="D161" s="33" t="s">
        <v>7</v>
      </c>
      <c r="E161" s="21"/>
      <c r="F161" s="21"/>
      <c r="G161" s="22"/>
      <c r="H161" s="22"/>
      <c r="I161" s="22"/>
    </row>
    <row r="162" spans="1:9" s="17" customFormat="1" ht="13.2" x14ac:dyDescent="0.25">
      <c r="A162" s="78"/>
      <c r="B162" s="58"/>
      <c r="C162" s="55"/>
      <c r="D162" s="33" t="s">
        <v>11</v>
      </c>
      <c r="E162" s="21">
        <v>1200000</v>
      </c>
      <c r="F162" s="21">
        <v>600000</v>
      </c>
      <c r="G162" s="22"/>
      <c r="H162" s="22"/>
      <c r="I162" s="22"/>
    </row>
    <row r="163" spans="1:9" s="17" customFormat="1" ht="13.2" x14ac:dyDescent="0.25">
      <c r="A163" s="79"/>
      <c r="B163" s="59"/>
      <c r="C163" s="56"/>
      <c r="D163" s="32" t="s">
        <v>12</v>
      </c>
      <c r="E163" s="24">
        <v>133333.34</v>
      </c>
      <c r="F163" s="24">
        <v>66666.67</v>
      </c>
      <c r="G163" s="23"/>
      <c r="H163" s="23"/>
      <c r="I163" s="23"/>
    </row>
    <row r="164" spans="1:9" s="17" customFormat="1" ht="13.2" x14ac:dyDescent="0.25">
      <c r="A164" s="77" t="s">
        <v>89</v>
      </c>
      <c r="B164" s="57" t="s">
        <v>100</v>
      </c>
      <c r="C164" s="54" t="s">
        <v>73</v>
      </c>
      <c r="D164" s="19" t="s">
        <v>13</v>
      </c>
      <c r="E164" s="20">
        <f t="shared" ref="E164:I164" si="54">SUM(E165:E167)</f>
        <v>100000</v>
      </c>
      <c r="F164" s="20">
        <f t="shared" si="54"/>
        <v>85000</v>
      </c>
      <c r="G164" s="20">
        <f t="shared" si="54"/>
        <v>0</v>
      </c>
      <c r="H164" s="20">
        <f t="shared" si="54"/>
        <v>0</v>
      </c>
      <c r="I164" s="20">
        <f t="shared" si="54"/>
        <v>0</v>
      </c>
    </row>
    <row r="165" spans="1:9" s="17" customFormat="1" ht="13.2" x14ac:dyDescent="0.25">
      <c r="A165" s="78"/>
      <c r="B165" s="58"/>
      <c r="C165" s="55"/>
      <c r="D165" s="33" t="s">
        <v>7</v>
      </c>
      <c r="E165" s="21"/>
      <c r="F165" s="21"/>
      <c r="G165" s="22"/>
      <c r="H165" s="22"/>
      <c r="I165" s="22"/>
    </row>
    <row r="166" spans="1:9" s="17" customFormat="1" ht="13.2" x14ac:dyDescent="0.25">
      <c r="A166" s="78"/>
      <c r="B166" s="58"/>
      <c r="C166" s="55"/>
      <c r="D166" s="33" t="s">
        <v>11</v>
      </c>
      <c r="E166" s="21">
        <v>90000</v>
      </c>
      <c r="F166" s="21">
        <v>76500</v>
      </c>
      <c r="G166" s="22"/>
      <c r="H166" s="22"/>
      <c r="I166" s="22"/>
    </row>
    <row r="167" spans="1:9" s="17" customFormat="1" ht="13.2" x14ac:dyDescent="0.25">
      <c r="A167" s="79"/>
      <c r="B167" s="59"/>
      <c r="C167" s="56"/>
      <c r="D167" s="32" t="s">
        <v>12</v>
      </c>
      <c r="E167" s="24">
        <f>66666.67-56666.67</f>
        <v>10000</v>
      </c>
      <c r="F167" s="24">
        <v>8500</v>
      </c>
      <c r="G167" s="23"/>
      <c r="H167" s="23"/>
      <c r="I167" s="23"/>
    </row>
    <row r="168" spans="1:9" s="17" customFormat="1" ht="13.2" x14ac:dyDescent="0.25">
      <c r="A168" s="60">
        <v>18</v>
      </c>
      <c r="B168" s="57" t="s">
        <v>29</v>
      </c>
      <c r="C168" s="54" t="s">
        <v>73</v>
      </c>
      <c r="D168" s="19" t="s">
        <v>13</v>
      </c>
      <c r="E168" s="20">
        <f>SUM(E169:E171)</f>
        <v>0</v>
      </c>
      <c r="F168" s="20">
        <f t="shared" ref="F168:I168" si="55">SUM(F169:F171)</f>
        <v>0</v>
      </c>
      <c r="G168" s="20">
        <f t="shared" si="55"/>
        <v>0</v>
      </c>
      <c r="H168" s="20">
        <f t="shared" si="55"/>
        <v>0</v>
      </c>
      <c r="I168" s="20">
        <f t="shared" si="55"/>
        <v>0</v>
      </c>
    </row>
    <row r="169" spans="1:9" s="17" customFormat="1" ht="13.2" x14ac:dyDescent="0.25">
      <c r="A169" s="60"/>
      <c r="B169" s="58"/>
      <c r="C169" s="55"/>
      <c r="D169" s="33" t="s">
        <v>7</v>
      </c>
      <c r="E169" s="21"/>
      <c r="F169" s="21"/>
      <c r="G169" s="22"/>
      <c r="H169" s="22"/>
      <c r="I169" s="22"/>
    </row>
    <row r="170" spans="1:9" s="17" customFormat="1" ht="13.2" x14ac:dyDescent="0.25">
      <c r="A170" s="60"/>
      <c r="B170" s="58"/>
      <c r="C170" s="55"/>
      <c r="D170" s="33" t="s">
        <v>11</v>
      </c>
      <c r="E170" s="21"/>
      <c r="F170" s="21"/>
      <c r="G170" s="22"/>
      <c r="H170" s="22"/>
      <c r="I170" s="22"/>
    </row>
    <row r="171" spans="1:9" s="17" customFormat="1" ht="16.2" customHeight="1" x14ac:dyDescent="0.25">
      <c r="A171" s="60"/>
      <c r="B171" s="59"/>
      <c r="C171" s="56"/>
      <c r="D171" s="32" t="s">
        <v>12</v>
      </c>
      <c r="E171" s="24"/>
      <c r="F171" s="24"/>
      <c r="G171" s="23"/>
      <c r="H171" s="23"/>
      <c r="I171" s="23"/>
    </row>
    <row r="172" spans="1:9" s="17" customFormat="1" ht="16.2" customHeight="1" x14ac:dyDescent="0.25">
      <c r="A172" s="60">
        <v>19</v>
      </c>
      <c r="B172" s="57" t="s">
        <v>30</v>
      </c>
      <c r="C172" s="54" t="s">
        <v>73</v>
      </c>
      <c r="D172" s="19" t="s">
        <v>13</v>
      </c>
      <c r="E172" s="20">
        <f>SUM(E173:E175)</f>
        <v>0</v>
      </c>
      <c r="F172" s="20">
        <f t="shared" ref="F172:I172" si="56">SUM(F173:F175)</f>
        <v>0</v>
      </c>
      <c r="G172" s="20">
        <f t="shared" si="56"/>
        <v>0</v>
      </c>
      <c r="H172" s="20">
        <f t="shared" si="56"/>
        <v>0</v>
      </c>
      <c r="I172" s="20">
        <f t="shared" si="56"/>
        <v>0</v>
      </c>
    </row>
    <row r="173" spans="1:9" s="17" customFormat="1" ht="16.2" customHeight="1" x14ac:dyDescent="0.25">
      <c r="A173" s="60"/>
      <c r="B173" s="58"/>
      <c r="C173" s="55"/>
      <c r="D173" s="33" t="s">
        <v>7</v>
      </c>
      <c r="E173" s="21"/>
      <c r="F173" s="21"/>
      <c r="G173" s="22"/>
      <c r="H173" s="22"/>
      <c r="I173" s="22"/>
    </row>
    <row r="174" spans="1:9" s="17" customFormat="1" ht="16.2" customHeight="1" x14ac:dyDescent="0.25">
      <c r="A174" s="60"/>
      <c r="B174" s="58"/>
      <c r="C174" s="55"/>
      <c r="D174" s="33" t="s">
        <v>11</v>
      </c>
      <c r="E174" s="21"/>
      <c r="F174" s="21"/>
      <c r="G174" s="22"/>
      <c r="H174" s="22"/>
      <c r="I174" s="22"/>
    </row>
    <row r="175" spans="1:9" s="17" customFormat="1" ht="13.2" x14ac:dyDescent="0.25">
      <c r="A175" s="60"/>
      <c r="B175" s="59"/>
      <c r="C175" s="56"/>
      <c r="D175" s="32" t="s">
        <v>12</v>
      </c>
      <c r="E175" s="24"/>
      <c r="F175" s="24"/>
      <c r="G175" s="23"/>
      <c r="H175" s="23"/>
      <c r="I175" s="23"/>
    </row>
    <row r="176" spans="1:9" s="17" customFormat="1" ht="16.2" customHeight="1" x14ac:dyDescent="0.25">
      <c r="A176" s="60">
        <v>20</v>
      </c>
      <c r="B176" s="57" t="s">
        <v>103</v>
      </c>
      <c r="C176" s="54" t="s">
        <v>73</v>
      </c>
      <c r="D176" s="19" t="s">
        <v>13</v>
      </c>
      <c r="E176" s="20">
        <f>SUM(E177:E179)</f>
        <v>0</v>
      </c>
      <c r="F176" s="20">
        <f t="shared" ref="F176:I176" si="57">SUM(F177:F179)</f>
        <v>407743.25999999995</v>
      </c>
      <c r="G176" s="20">
        <f t="shared" si="57"/>
        <v>0</v>
      </c>
      <c r="H176" s="20">
        <f t="shared" si="57"/>
        <v>0</v>
      </c>
      <c r="I176" s="20">
        <f t="shared" si="57"/>
        <v>0</v>
      </c>
    </row>
    <row r="177" spans="1:12" s="17" customFormat="1" ht="16.2" customHeight="1" x14ac:dyDescent="0.25">
      <c r="A177" s="60"/>
      <c r="B177" s="58"/>
      <c r="C177" s="55"/>
      <c r="D177" s="43" t="s">
        <v>7</v>
      </c>
      <c r="E177" s="21"/>
      <c r="F177" s="21"/>
      <c r="G177" s="22"/>
      <c r="H177" s="22"/>
      <c r="I177" s="22"/>
    </row>
    <row r="178" spans="1:12" s="17" customFormat="1" ht="16.2" customHeight="1" x14ac:dyDescent="0.25">
      <c r="A178" s="60"/>
      <c r="B178" s="58"/>
      <c r="C178" s="55"/>
      <c r="D178" s="43" t="s">
        <v>11</v>
      </c>
      <c r="E178" s="21"/>
      <c r="F178" s="21"/>
      <c r="G178" s="22"/>
      <c r="H178" s="22"/>
      <c r="I178" s="22"/>
    </row>
    <row r="179" spans="1:12" s="17" customFormat="1" ht="13.2" x14ac:dyDescent="0.25">
      <c r="A179" s="60"/>
      <c r="B179" s="59"/>
      <c r="C179" s="56"/>
      <c r="D179" s="42" t="s">
        <v>12</v>
      </c>
      <c r="E179" s="24"/>
      <c r="F179" s="24">
        <f>900000-194955.55-194100-103201.19</f>
        <v>407743.25999999995</v>
      </c>
      <c r="G179" s="23"/>
      <c r="H179" s="23"/>
      <c r="I179" s="23"/>
    </row>
    <row r="180" spans="1:12" x14ac:dyDescent="0.25">
      <c r="A180" s="71" t="s">
        <v>31</v>
      </c>
      <c r="B180" s="72"/>
      <c r="C180" s="72"/>
      <c r="D180" s="72"/>
      <c r="E180" s="72"/>
      <c r="F180" s="72"/>
      <c r="G180" s="72"/>
      <c r="H180" s="72"/>
      <c r="I180" s="73"/>
    </row>
    <row r="181" spans="1:12" ht="17.850000000000001" customHeight="1" x14ac:dyDescent="0.25">
      <c r="A181" s="48">
        <v>20</v>
      </c>
      <c r="B181" s="57" t="s">
        <v>32</v>
      </c>
      <c r="C181" s="54" t="s">
        <v>73</v>
      </c>
      <c r="D181" s="19" t="s">
        <v>13</v>
      </c>
      <c r="E181" s="20">
        <f>SUM(E182:E184)</f>
        <v>0</v>
      </c>
      <c r="F181" s="20">
        <f t="shared" ref="F181:I181" si="58">SUM(F182:F184)</f>
        <v>0</v>
      </c>
      <c r="G181" s="20">
        <f t="shared" si="58"/>
        <v>0</v>
      </c>
      <c r="H181" s="20">
        <f t="shared" si="58"/>
        <v>0</v>
      </c>
      <c r="I181" s="20">
        <f t="shared" si="58"/>
        <v>0</v>
      </c>
    </row>
    <row r="182" spans="1:12" ht="17.850000000000001" customHeight="1" x14ac:dyDescent="0.25">
      <c r="A182" s="49"/>
      <c r="B182" s="58"/>
      <c r="C182" s="55"/>
      <c r="D182" s="33" t="s">
        <v>7</v>
      </c>
      <c r="E182" s="21"/>
      <c r="F182" s="21"/>
      <c r="G182" s="22"/>
      <c r="H182" s="22"/>
      <c r="I182" s="22"/>
    </row>
    <row r="183" spans="1:12" ht="17.850000000000001" customHeight="1" x14ac:dyDescent="0.25">
      <c r="A183" s="49"/>
      <c r="B183" s="58"/>
      <c r="C183" s="55"/>
      <c r="D183" s="33" t="s">
        <v>11</v>
      </c>
      <c r="E183" s="21"/>
      <c r="F183" s="21"/>
      <c r="G183" s="22"/>
      <c r="H183" s="22"/>
      <c r="I183" s="22"/>
    </row>
    <row r="184" spans="1:12" ht="17.850000000000001" customHeight="1" x14ac:dyDescent="0.25">
      <c r="A184" s="50"/>
      <c r="B184" s="59"/>
      <c r="C184" s="56"/>
      <c r="D184" s="32" t="s">
        <v>12</v>
      </c>
      <c r="E184" s="24"/>
      <c r="F184" s="24"/>
      <c r="G184" s="23"/>
      <c r="H184" s="23"/>
      <c r="I184" s="23"/>
    </row>
    <row r="185" spans="1:12" ht="24.15" customHeight="1" x14ac:dyDescent="0.25">
      <c r="A185" s="48">
        <v>21</v>
      </c>
      <c r="B185" s="61" t="s">
        <v>33</v>
      </c>
      <c r="C185" s="54" t="s">
        <v>73</v>
      </c>
      <c r="D185" s="19" t="s">
        <v>13</v>
      </c>
      <c r="E185" s="20">
        <f>SUM(E186:E188)</f>
        <v>0</v>
      </c>
      <c r="F185" s="20">
        <f t="shared" ref="F185:I185" si="59">SUM(F186:F188)</f>
        <v>0</v>
      </c>
      <c r="G185" s="20">
        <f t="shared" si="59"/>
        <v>0</v>
      </c>
      <c r="H185" s="20">
        <f t="shared" si="59"/>
        <v>0</v>
      </c>
      <c r="I185" s="20">
        <f t="shared" si="59"/>
        <v>0</v>
      </c>
    </row>
    <row r="186" spans="1:12" ht="24.15" customHeight="1" x14ac:dyDescent="0.25">
      <c r="A186" s="49"/>
      <c r="B186" s="61"/>
      <c r="C186" s="55"/>
      <c r="D186" s="33" t="s">
        <v>7</v>
      </c>
      <c r="E186" s="21"/>
      <c r="F186" s="21"/>
      <c r="G186" s="22"/>
      <c r="H186" s="22"/>
      <c r="I186" s="22"/>
    </row>
    <row r="187" spans="1:12" ht="24.15" customHeight="1" x14ac:dyDescent="0.25">
      <c r="A187" s="49"/>
      <c r="B187" s="61"/>
      <c r="C187" s="55"/>
      <c r="D187" s="33" t="s">
        <v>11</v>
      </c>
      <c r="E187" s="21"/>
      <c r="F187" s="21"/>
      <c r="G187" s="22"/>
      <c r="H187" s="22"/>
      <c r="I187" s="22"/>
    </row>
    <row r="188" spans="1:12" ht="24.15" customHeight="1" x14ac:dyDescent="0.25">
      <c r="A188" s="50"/>
      <c r="B188" s="61"/>
      <c r="C188" s="56"/>
      <c r="D188" s="33" t="s">
        <v>12</v>
      </c>
      <c r="E188" s="21"/>
      <c r="F188" s="21"/>
      <c r="G188" s="22"/>
      <c r="H188" s="22"/>
      <c r="I188" s="22"/>
    </row>
    <row r="189" spans="1:12" s="5" customFormat="1" ht="13.95" customHeight="1" x14ac:dyDescent="0.25">
      <c r="A189" s="65" t="s">
        <v>34</v>
      </c>
      <c r="B189" s="65" t="s">
        <v>35</v>
      </c>
      <c r="C189" s="54" t="s">
        <v>73</v>
      </c>
      <c r="D189" s="26" t="s">
        <v>10</v>
      </c>
      <c r="E189" s="27">
        <f>SUM(E190:E192)</f>
        <v>20440446.030000001</v>
      </c>
      <c r="F189" s="27">
        <f t="shared" ref="F189:I189" si="60">SUM(F190:F192)</f>
        <v>24336427.260000002</v>
      </c>
      <c r="G189" s="27">
        <f t="shared" si="60"/>
        <v>19497824.27</v>
      </c>
      <c r="H189" s="27">
        <f t="shared" si="60"/>
        <v>19497824.27</v>
      </c>
      <c r="I189" s="27">
        <f t="shared" si="60"/>
        <v>0</v>
      </c>
      <c r="K189" s="18"/>
      <c r="L189" s="18"/>
    </row>
    <row r="190" spans="1:12" s="5" customFormat="1" x14ac:dyDescent="0.25">
      <c r="A190" s="66"/>
      <c r="B190" s="66"/>
      <c r="C190" s="55"/>
      <c r="D190" s="34" t="s">
        <v>7</v>
      </c>
      <c r="E190" s="28">
        <f>E195+E204+E209+E214+E219+E223+E227+E231+E235+E239+E243+E251+E199+E255</f>
        <v>102836.23</v>
      </c>
      <c r="F190" s="28">
        <f t="shared" ref="F190:H190" si="61">F195+F204+F209+F214+F219+F223+F227+F231+F235+F239+F243+F251+F199+F255</f>
        <v>0</v>
      </c>
      <c r="G190" s="28">
        <f t="shared" si="61"/>
        <v>0</v>
      </c>
      <c r="H190" s="28">
        <f t="shared" si="61"/>
        <v>0</v>
      </c>
      <c r="I190" s="28"/>
    </row>
    <row r="191" spans="1:12" s="5" customFormat="1" x14ac:dyDescent="0.25">
      <c r="A191" s="66"/>
      <c r="B191" s="66"/>
      <c r="C191" s="55"/>
      <c r="D191" s="34" t="s">
        <v>11</v>
      </c>
      <c r="E191" s="28">
        <f>E196+E205+E210+E215+E220+E224+E228+E232+E236+E240+E244+E252+E200+E256</f>
        <v>1356531.29</v>
      </c>
      <c r="F191" s="28">
        <f t="shared" ref="F191:H191" si="62">F196+F205+F210+F215+F220+F224+F228+F232+F236+F240+F244+F252+F200+F256</f>
        <v>4486000</v>
      </c>
      <c r="G191" s="28">
        <f t="shared" si="62"/>
        <v>1507500</v>
      </c>
      <c r="H191" s="28">
        <f t="shared" si="62"/>
        <v>1507500</v>
      </c>
      <c r="I191" s="29"/>
    </row>
    <row r="192" spans="1:12" s="11" customFormat="1" x14ac:dyDescent="0.25">
      <c r="A192" s="67"/>
      <c r="B192" s="67"/>
      <c r="C192" s="56"/>
      <c r="D192" s="34" t="s">
        <v>12</v>
      </c>
      <c r="E192" s="28">
        <f>E197+E206+E211+E216+E221+E225+E229+E233+E237+E241+E245+E253+E201+E249+E257</f>
        <v>18981078.510000002</v>
      </c>
      <c r="F192" s="28">
        <f t="shared" ref="F192:H192" si="63">F197+F206+F211+F216+F221+F225+F229+F233+F237+F241+F245+F253+F201+F249+F257</f>
        <v>19850427.260000002</v>
      </c>
      <c r="G192" s="28">
        <f t="shared" si="63"/>
        <v>17990324.27</v>
      </c>
      <c r="H192" s="28">
        <f t="shared" si="63"/>
        <v>17990324.27</v>
      </c>
      <c r="I192" s="29"/>
      <c r="L192" s="25"/>
    </row>
    <row r="193" spans="1:9" s="11" customFormat="1" ht="27.6" customHeight="1" x14ac:dyDescent="0.25">
      <c r="A193" s="68" t="s">
        <v>39</v>
      </c>
      <c r="B193" s="69"/>
      <c r="C193" s="69"/>
      <c r="D193" s="69"/>
      <c r="E193" s="69"/>
      <c r="F193" s="69"/>
      <c r="G193" s="69"/>
      <c r="H193" s="69"/>
      <c r="I193" s="70"/>
    </row>
    <row r="194" spans="1:9" x14ac:dyDescent="0.25">
      <c r="A194" s="48">
        <v>1</v>
      </c>
      <c r="B194" s="57" t="s">
        <v>61</v>
      </c>
      <c r="C194" s="54" t="s">
        <v>73</v>
      </c>
      <c r="D194" s="19" t="s">
        <v>13</v>
      </c>
      <c r="E194" s="20">
        <f>SUM(E195:E197)</f>
        <v>0</v>
      </c>
      <c r="F194" s="20">
        <f t="shared" ref="F194:I194" si="64">SUM(F195:F197)</f>
        <v>0</v>
      </c>
      <c r="G194" s="20">
        <f t="shared" si="64"/>
        <v>0</v>
      </c>
      <c r="H194" s="20">
        <f t="shared" si="64"/>
        <v>0</v>
      </c>
      <c r="I194" s="20">
        <f t="shared" si="64"/>
        <v>0</v>
      </c>
    </row>
    <row r="195" spans="1:9" x14ac:dyDescent="0.25">
      <c r="A195" s="49"/>
      <c r="B195" s="58"/>
      <c r="C195" s="55"/>
      <c r="D195" s="33" t="s">
        <v>7</v>
      </c>
      <c r="E195" s="21"/>
      <c r="F195" s="21"/>
      <c r="G195" s="22"/>
      <c r="H195" s="22"/>
      <c r="I195" s="22"/>
    </row>
    <row r="196" spans="1:9" x14ac:dyDescent="0.25">
      <c r="A196" s="49"/>
      <c r="B196" s="58"/>
      <c r="C196" s="55"/>
      <c r="D196" s="33" t="s">
        <v>11</v>
      </c>
      <c r="E196" s="21"/>
      <c r="F196" s="21"/>
      <c r="G196" s="22"/>
      <c r="H196" s="22"/>
      <c r="I196" s="22"/>
    </row>
    <row r="197" spans="1:9" x14ac:dyDescent="0.25">
      <c r="A197" s="50"/>
      <c r="B197" s="59"/>
      <c r="C197" s="56"/>
      <c r="D197" s="32" t="s">
        <v>12</v>
      </c>
      <c r="E197" s="24"/>
      <c r="F197" s="24"/>
      <c r="G197" s="23"/>
      <c r="H197" s="23"/>
      <c r="I197" s="23"/>
    </row>
    <row r="198" spans="1:9" x14ac:dyDescent="0.25">
      <c r="A198" s="48">
        <v>2</v>
      </c>
      <c r="B198" s="57" t="s">
        <v>64</v>
      </c>
      <c r="C198" s="54" t="s">
        <v>73</v>
      </c>
      <c r="D198" s="19" t="s">
        <v>13</v>
      </c>
      <c r="E198" s="20">
        <f>SUM(E199:E201)</f>
        <v>0</v>
      </c>
      <c r="F198" s="20">
        <f t="shared" ref="F198:I198" si="65">SUM(F199:F201)</f>
        <v>0</v>
      </c>
      <c r="G198" s="20">
        <f t="shared" si="65"/>
        <v>0</v>
      </c>
      <c r="H198" s="20">
        <f t="shared" si="65"/>
        <v>0</v>
      </c>
      <c r="I198" s="20">
        <f t="shared" si="65"/>
        <v>0</v>
      </c>
    </row>
    <row r="199" spans="1:9" x14ac:dyDescent="0.25">
      <c r="A199" s="49"/>
      <c r="B199" s="58"/>
      <c r="C199" s="55"/>
      <c r="D199" s="33" t="s">
        <v>7</v>
      </c>
      <c r="E199" s="21"/>
      <c r="F199" s="21"/>
      <c r="G199" s="22"/>
      <c r="H199" s="22"/>
      <c r="I199" s="22"/>
    </row>
    <row r="200" spans="1:9" x14ac:dyDescent="0.25">
      <c r="A200" s="49"/>
      <c r="B200" s="58"/>
      <c r="C200" s="55"/>
      <c r="D200" s="33" t="s">
        <v>11</v>
      </c>
      <c r="E200" s="21"/>
      <c r="F200" s="21"/>
      <c r="G200" s="22"/>
      <c r="H200" s="22"/>
      <c r="I200" s="22"/>
    </row>
    <row r="201" spans="1:9" x14ac:dyDescent="0.25">
      <c r="A201" s="50"/>
      <c r="B201" s="59"/>
      <c r="C201" s="56"/>
      <c r="D201" s="32" t="s">
        <v>12</v>
      </c>
      <c r="E201" s="24"/>
      <c r="F201" s="24"/>
      <c r="G201" s="23"/>
      <c r="H201" s="23"/>
      <c r="I201" s="23"/>
    </row>
    <row r="202" spans="1:9" x14ac:dyDescent="0.25">
      <c r="A202" s="62" t="s">
        <v>40</v>
      </c>
      <c r="B202" s="63"/>
      <c r="C202" s="63"/>
      <c r="D202" s="63"/>
      <c r="E202" s="63"/>
      <c r="F202" s="63"/>
      <c r="G202" s="63"/>
      <c r="H202" s="63"/>
      <c r="I202" s="64"/>
    </row>
    <row r="203" spans="1:9" x14ac:dyDescent="0.25">
      <c r="A203" s="48">
        <v>3</v>
      </c>
      <c r="B203" s="57" t="s">
        <v>62</v>
      </c>
      <c r="C203" s="54" t="s">
        <v>73</v>
      </c>
      <c r="D203" s="19" t="s">
        <v>13</v>
      </c>
      <c r="E203" s="20">
        <f>SUM(E204:E206)</f>
        <v>0</v>
      </c>
      <c r="F203" s="20">
        <f t="shared" ref="F203:I203" si="66">SUM(F204:F206)</f>
        <v>0</v>
      </c>
      <c r="G203" s="20">
        <f t="shared" si="66"/>
        <v>0</v>
      </c>
      <c r="H203" s="20">
        <f t="shared" si="66"/>
        <v>0</v>
      </c>
      <c r="I203" s="20">
        <f t="shared" si="66"/>
        <v>0</v>
      </c>
    </row>
    <row r="204" spans="1:9" x14ac:dyDescent="0.25">
      <c r="A204" s="49"/>
      <c r="B204" s="58"/>
      <c r="C204" s="55"/>
      <c r="D204" s="33" t="s">
        <v>7</v>
      </c>
      <c r="E204" s="21"/>
      <c r="F204" s="21"/>
      <c r="G204" s="22"/>
      <c r="H204" s="22"/>
      <c r="I204" s="22"/>
    </row>
    <row r="205" spans="1:9" x14ac:dyDescent="0.25">
      <c r="A205" s="49"/>
      <c r="B205" s="58"/>
      <c r="C205" s="55"/>
      <c r="D205" s="33" t="s">
        <v>11</v>
      </c>
      <c r="E205" s="21"/>
      <c r="F205" s="21"/>
      <c r="G205" s="22"/>
      <c r="H205" s="22"/>
      <c r="I205" s="22"/>
    </row>
    <row r="206" spans="1:9" x14ac:dyDescent="0.25">
      <c r="A206" s="50"/>
      <c r="B206" s="59"/>
      <c r="C206" s="56"/>
      <c r="D206" s="32" t="s">
        <v>12</v>
      </c>
      <c r="E206" s="24"/>
      <c r="F206" s="24"/>
      <c r="G206" s="23"/>
      <c r="H206" s="23"/>
      <c r="I206" s="23"/>
    </row>
    <row r="207" spans="1:9" x14ac:dyDescent="0.25">
      <c r="A207" s="62" t="s">
        <v>41</v>
      </c>
      <c r="B207" s="63"/>
      <c r="C207" s="63"/>
      <c r="D207" s="63"/>
      <c r="E207" s="63"/>
      <c r="F207" s="63"/>
      <c r="G207" s="63"/>
      <c r="H207" s="63"/>
      <c r="I207" s="64"/>
    </row>
    <row r="208" spans="1:9" x14ac:dyDescent="0.25">
      <c r="A208" s="48">
        <v>4</v>
      </c>
      <c r="B208" s="57" t="s">
        <v>42</v>
      </c>
      <c r="C208" s="54" t="s">
        <v>73</v>
      </c>
      <c r="D208" s="19" t="s">
        <v>13</v>
      </c>
      <c r="E208" s="20">
        <f>SUM(E209:E211)</f>
        <v>0</v>
      </c>
      <c r="F208" s="20">
        <f t="shared" ref="F208:I208" si="67">SUM(F209:F211)</f>
        <v>0</v>
      </c>
      <c r="G208" s="20">
        <f t="shared" si="67"/>
        <v>0</v>
      </c>
      <c r="H208" s="20">
        <f t="shared" si="67"/>
        <v>0</v>
      </c>
      <c r="I208" s="20">
        <f t="shared" si="67"/>
        <v>0</v>
      </c>
    </row>
    <row r="209" spans="1:9" x14ac:dyDescent="0.25">
      <c r="A209" s="49"/>
      <c r="B209" s="58"/>
      <c r="C209" s="55"/>
      <c r="D209" s="33" t="s">
        <v>7</v>
      </c>
      <c r="E209" s="21"/>
      <c r="F209" s="21"/>
      <c r="G209" s="22"/>
      <c r="H209" s="22"/>
      <c r="I209" s="22"/>
    </row>
    <row r="210" spans="1:9" x14ac:dyDescent="0.25">
      <c r="A210" s="49"/>
      <c r="B210" s="58"/>
      <c r="C210" s="55"/>
      <c r="D210" s="33" t="s">
        <v>11</v>
      </c>
      <c r="E210" s="21"/>
      <c r="F210" s="21"/>
      <c r="G210" s="22"/>
      <c r="H210" s="22"/>
      <c r="I210" s="22"/>
    </row>
    <row r="211" spans="1:9" x14ac:dyDescent="0.25">
      <c r="A211" s="50"/>
      <c r="B211" s="59"/>
      <c r="C211" s="56"/>
      <c r="D211" s="32" t="s">
        <v>12</v>
      </c>
      <c r="E211" s="24"/>
      <c r="F211" s="24"/>
      <c r="G211" s="23"/>
      <c r="H211" s="23"/>
      <c r="I211" s="23"/>
    </row>
    <row r="212" spans="1:9" x14ac:dyDescent="0.25">
      <c r="A212" s="62" t="s">
        <v>43</v>
      </c>
      <c r="B212" s="63"/>
      <c r="C212" s="63"/>
      <c r="D212" s="63"/>
      <c r="E212" s="63"/>
      <c r="F212" s="63"/>
      <c r="G212" s="63"/>
      <c r="H212" s="63"/>
      <c r="I212" s="64"/>
    </row>
    <row r="213" spans="1:9" ht="16.95" customHeight="1" x14ac:dyDescent="0.25">
      <c r="A213" s="48">
        <v>5</v>
      </c>
      <c r="B213" s="57" t="s">
        <v>44</v>
      </c>
      <c r="C213" s="54" t="s">
        <v>73</v>
      </c>
      <c r="D213" s="19" t="s">
        <v>13</v>
      </c>
      <c r="E213" s="20">
        <f>SUM(E214:E216)</f>
        <v>580192.19999999995</v>
      </c>
      <c r="F213" s="20">
        <f t="shared" ref="F213:I213" si="68">SUM(F214:F216)</f>
        <v>0</v>
      </c>
      <c r="G213" s="20">
        <f t="shared" si="68"/>
        <v>267925</v>
      </c>
      <c r="H213" s="20">
        <f t="shared" si="68"/>
        <v>267925</v>
      </c>
      <c r="I213" s="20">
        <f t="shared" si="68"/>
        <v>0</v>
      </c>
    </row>
    <row r="214" spans="1:9" ht="16.95" customHeight="1" x14ac:dyDescent="0.25">
      <c r="A214" s="49"/>
      <c r="B214" s="58"/>
      <c r="C214" s="55"/>
      <c r="D214" s="33" t="s">
        <v>7</v>
      </c>
      <c r="E214" s="21">
        <v>102836.23</v>
      </c>
      <c r="F214" s="21"/>
      <c r="G214" s="22"/>
      <c r="H214" s="22"/>
      <c r="I214" s="22"/>
    </row>
    <row r="215" spans="1:9" ht="16.95" customHeight="1" x14ac:dyDescent="0.25">
      <c r="A215" s="49"/>
      <c r="B215" s="58"/>
      <c r="C215" s="55"/>
      <c r="D215" s="33" t="s">
        <v>11</v>
      </c>
      <c r="E215" s="21">
        <v>209431.29</v>
      </c>
      <c r="F215" s="21"/>
      <c r="G215" s="22"/>
      <c r="H215" s="22"/>
      <c r="I215" s="22"/>
    </row>
    <row r="216" spans="1:9" ht="16.95" customHeight="1" x14ac:dyDescent="0.25">
      <c r="A216" s="50"/>
      <c r="B216" s="59"/>
      <c r="C216" s="56"/>
      <c r="D216" s="32" t="s">
        <v>12</v>
      </c>
      <c r="E216" s="24">
        <f>333600-65675.32</f>
        <v>267924.68</v>
      </c>
      <c r="F216" s="24">
        <v>0</v>
      </c>
      <c r="G216" s="23">
        <v>267925</v>
      </c>
      <c r="H216" s="23">
        <v>267925</v>
      </c>
      <c r="I216" s="23"/>
    </row>
    <row r="217" spans="1:9" x14ac:dyDescent="0.25">
      <c r="A217" s="62" t="s">
        <v>45</v>
      </c>
      <c r="B217" s="63"/>
      <c r="C217" s="63"/>
      <c r="D217" s="63"/>
      <c r="E217" s="63"/>
      <c r="F217" s="63"/>
      <c r="G217" s="63"/>
      <c r="H217" s="63"/>
      <c r="I217" s="64"/>
    </row>
    <row r="218" spans="1:9" x14ac:dyDescent="0.25">
      <c r="A218" s="48">
        <v>6</v>
      </c>
      <c r="B218" s="57" t="s">
        <v>46</v>
      </c>
      <c r="C218" s="54" t="s">
        <v>73</v>
      </c>
      <c r="D218" s="19" t="s">
        <v>13</v>
      </c>
      <c r="E218" s="20">
        <f>SUM(E219:E221)</f>
        <v>18701566.960000001</v>
      </c>
      <c r="F218" s="20">
        <f t="shared" ref="F218:I218" si="69">SUM(F219:F221)</f>
        <v>19349904.649999999</v>
      </c>
      <c r="G218" s="20">
        <f t="shared" si="69"/>
        <v>17707172</v>
      </c>
      <c r="H218" s="20">
        <f t="shared" si="69"/>
        <v>17707172</v>
      </c>
      <c r="I218" s="20">
        <f t="shared" si="69"/>
        <v>0</v>
      </c>
    </row>
    <row r="219" spans="1:9" x14ac:dyDescent="0.25">
      <c r="A219" s="49"/>
      <c r="B219" s="58"/>
      <c r="C219" s="55"/>
      <c r="D219" s="33" t="s">
        <v>7</v>
      </c>
      <c r="E219" s="21"/>
      <c r="F219" s="21"/>
      <c r="G219" s="22"/>
      <c r="H219" s="22"/>
      <c r="I219" s="22"/>
    </row>
    <row r="220" spans="1:9" x14ac:dyDescent="0.25">
      <c r="A220" s="49"/>
      <c r="B220" s="58"/>
      <c r="C220" s="55"/>
      <c r="D220" s="33" t="s">
        <v>11</v>
      </c>
      <c r="E220" s="21"/>
      <c r="F220" s="21"/>
      <c r="G220" s="22"/>
      <c r="H220" s="22"/>
      <c r="I220" s="22"/>
    </row>
    <row r="221" spans="1:9" x14ac:dyDescent="0.25">
      <c r="A221" s="50"/>
      <c r="B221" s="59"/>
      <c r="C221" s="56"/>
      <c r="D221" s="32" t="s">
        <v>12</v>
      </c>
      <c r="E221" s="24">
        <f>19807473-480000-625906.04</f>
        <v>18701566.960000001</v>
      </c>
      <c r="F221" s="24">
        <f>19200000-500000-3823.23+592127.88+61600</f>
        <v>19349904.649999999</v>
      </c>
      <c r="G221" s="23">
        <v>17707172</v>
      </c>
      <c r="H221" s="23">
        <v>17707172</v>
      </c>
      <c r="I221" s="23"/>
    </row>
    <row r="222" spans="1:9" ht="19.8" customHeight="1" x14ac:dyDescent="0.25">
      <c r="A222" s="48">
        <v>7</v>
      </c>
      <c r="B222" s="57" t="s">
        <v>76</v>
      </c>
      <c r="C222" s="54" t="s">
        <v>73</v>
      </c>
      <c r="D222" s="19" t="s">
        <v>13</v>
      </c>
      <c r="E222" s="20">
        <f>SUM(E223:E225)</f>
        <v>1158686.8700000001</v>
      </c>
      <c r="F222" s="20">
        <f t="shared" ref="F222:I222" si="70">SUM(F223:F225)</f>
        <v>1905050.5</v>
      </c>
      <c r="G222" s="20">
        <f t="shared" si="70"/>
        <v>1522727.27</v>
      </c>
      <c r="H222" s="20">
        <f t="shared" si="70"/>
        <v>1522727.27</v>
      </c>
      <c r="I222" s="20">
        <f t="shared" si="70"/>
        <v>0</v>
      </c>
    </row>
    <row r="223" spans="1:9" ht="19.8" customHeight="1" x14ac:dyDescent="0.25">
      <c r="A223" s="49"/>
      <c r="B223" s="58"/>
      <c r="C223" s="55"/>
      <c r="D223" s="33" t="s">
        <v>7</v>
      </c>
      <c r="E223" s="21"/>
      <c r="F223" s="21"/>
      <c r="G223" s="22"/>
      <c r="H223" s="22"/>
      <c r="I223" s="22"/>
    </row>
    <row r="224" spans="1:9" ht="19.8" customHeight="1" x14ac:dyDescent="0.25">
      <c r="A224" s="49"/>
      <c r="B224" s="58"/>
      <c r="C224" s="55"/>
      <c r="D224" s="33" t="s">
        <v>11</v>
      </c>
      <c r="E224" s="21">
        <v>1147100</v>
      </c>
      <c r="F224" s="21">
        <f>1507500+378500</f>
        <v>1886000</v>
      </c>
      <c r="G224" s="22">
        <v>1507500</v>
      </c>
      <c r="H224" s="22">
        <v>1507500</v>
      </c>
      <c r="I224" s="22"/>
    </row>
    <row r="225" spans="1:9" ht="19.8" customHeight="1" x14ac:dyDescent="0.25">
      <c r="A225" s="50"/>
      <c r="B225" s="59"/>
      <c r="C225" s="56"/>
      <c r="D225" s="32" t="s">
        <v>12</v>
      </c>
      <c r="E225" s="24">
        <v>11586.87</v>
      </c>
      <c r="F225" s="24">
        <f>15227.27+3823.23</f>
        <v>19050.5</v>
      </c>
      <c r="G225" s="23">
        <v>15227.27</v>
      </c>
      <c r="H225" s="23">
        <v>15227.27</v>
      </c>
      <c r="I225" s="23"/>
    </row>
    <row r="226" spans="1:9" x14ac:dyDescent="0.25">
      <c r="A226" s="48">
        <v>8</v>
      </c>
      <c r="B226" s="57" t="s">
        <v>47</v>
      </c>
      <c r="C226" s="54" t="s">
        <v>73</v>
      </c>
      <c r="D226" s="19" t="s">
        <v>13</v>
      </c>
      <c r="E226" s="20">
        <f>SUM(E227:E229)</f>
        <v>0</v>
      </c>
      <c r="F226" s="20">
        <f t="shared" ref="F226:I226" si="71">SUM(F227:F229)</f>
        <v>0</v>
      </c>
      <c r="G226" s="20">
        <f t="shared" si="71"/>
        <v>0</v>
      </c>
      <c r="H226" s="20">
        <f t="shared" si="71"/>
        <v>0</v>
      </c>
      <c r="I226" s="20">
        <f t="shared" si="71"/>
        <v>0</v>
      </c>
    </row>
    <row r="227" spans="1:9" x14ac:dyDescent="0.25">
      <c r="A227" s="49"/>
      <c r="B227" s="58"/>
      <c r="C227" s="55"/>
      <c r="D227" s="33" t="s">
        <v>7</v>
      </c>
      <c r="E227" s="21"/>
      <c r="F227" s="21"/>
      <c r="G227" s="22"/>
      <c r="H227" s="22"/>
      <c r="I227" s="22"/>
    </row>
    <row r="228" spans="1:9" x14ac:dyDescent="0.25">
      <c r="A228" s="49"/>
      <c r="B228" s="58"/>
      <c r="C228" s="55"/>
      <c r="D228" s="33" t="s">
        <v>11</v>
      </c>
      <c r="E228" s="21"/>
      <c r="F228" s="21"/>
      <c r="G228" s="22"/>
      <c r="H228" s="22"/>
      <c r="I228" s="22"/>
    </row>
    <row r="229" spans="1:9" x14ac:dyDescent="0.25">
      <c r="A229" s="50"/>
      <c r="B229" s="59"/>
      <c r="C229" s="56"/>
      <c r="D229" s="32" t="s">
        <v>12</v>
      </c>
      <c r="E229" s="24"/>
      <c r="F229" s="24"/>
      <c r="G229" s="23"/>
      <c r="H229" s="23"/>
      <c r="I229" s="23"/>
    </row>
    <row r="230" spans="1:9" x14ac:dyDescent="0.25">
      <c r="A230" s="48">
        <v>9</v>
      </c>
      <c r="B230" s="57" t="s">
        <v>48</v>
      </c>
      <c r="C230" s="54" t="s">
        <v>73</v>
      </c>
      <c r="D230" s="19" t="s">
        <v>13</v>
      </c>
      <c r="E230" s="20">
        <f>SUM(E231:E233)</f>
        <v>0</v>
      </c>
      <c r="F230" s="20">
        <f t="shared" ref="F230:I230" si="72">SUM(F231:F233)</f>
        <v>0</v>
      </c>
      <c r="G230" s="20">
        <f t="shared" si="72"/>
        <v>0</v>
      </c>
      <c r="H230" s="20">
        <f t="shared" si="72"/>
        <v>0</v>
      </c>
      <c r="I230" s="20">
        <f t="shared" si="72"/>
        <v>0</v>
      </c>
    </row>
    <row r="231" spans="1:9" x14ac:dyDescent="0.25">
      <c r="A231" s="49"/>
      <c r="B231" s="58"/>
      <c r="C231" s="55"/>
      <c r="D231" s="33" t="s">
        <v>7</v>
      </c>
      <c r="E231" s="21"/>
      <c r="F231" s="21"/>
      <c r="G231" s="22"/>
      <c r="H231" s="22"/>
      <c r="I231" s="22"/>
    </row>
    <row r="232" spans="1:9" x14ac:dyDescent="0.25">
      <c r="A232" s="49"/>
      <c r="B232" s="58"/>
      <c r="C232" s="55"/>
      <c r="D232" s="33" t="s">
        <v>11</v>
      </c>
      <c r="E232" s="21"/>
      <c r="F232" s="21"/>
      <c r="G232" s="22"/>
      <c r="H232" s="22"/>
      <c r="I232" s="22"/>
    </row>
    <row r="233" spans="1:9" x14ac:dyDescent="0.25">
      <c r="A233" s="50"/>
      <c r="B233" s="59"/>
      <c r="C233" s="56"/>
      <c r="D233" s="32" t="s">
        <v>12</v>
      </c>
      <c r="E233" s="24"/>
      <c r="F233" s="24"/>
      <c r="G233" s="23"/>
      <c r="H233" s="23"/>
      <c r="I233" s="23"/>
    </row>
    <row r="234" spans="1:9" x14ac:dyDescent="0.25">
      <c r="A234" s="48">
        <v>10</v>
      </c>
      <c r="B234" s="57" t="s">
        <v>49</v>
      </c>
      <c r="C234" s="54" t="s">
        <v>73</v>
      </c>
      <c r="D234" s="19" t="s">
        <v>13</v>
      </c>
      <c r="E234" s="20">
        <f>SUM(E235:E237)</f>
        <v>0</v>
      </c>
      <c r="F234" s="20">
        <f t="shared" ref="F234:I234" si="73">SUM(F235:F237)</f>
        <v>0</v>
      </c>
      <c r="G234" s="20">
        <f t="shared" si="73"/>
        <v>0</v>
      </c>
      <c r="H234" s="20">
        <f t="shared" si="73"/>
        <v>0</v>
      </c>
      <c r="I234" s="20">
        <f t="shared" si="73"/>
        <v>0</v>
      </c>
    </row>
    <row r="235" spans="1:9" x14ac:dyDescent="0.25">
      <c r="A235" s="49"/>
      <c r="B235" s="58"/>
      <c r="C235" s="55"/>
      <c r="D235" s="33" t="s">
        <v>7</v>
      </c>
      <c r="E235" s="21"/>
      <c r="F235" s="21"/>
      <c r="G235" s="22"/>
      <c r="H235" s="22"/>
      <c r="I235" s="22"/>
    </row>
    <row r="236" spans="1:9" x14ac:dyDescent="0.25">
      <c r="A236" s="49"/>
      <c r="B236" s="58"/>
      <c r="C236" s="55"/>
      <c r="D236" s="33" t="s">
        <v>11</v>
      </c>
      <c r="E236" s="21"/>
      <c r="F236" s="21"/>
      <c r="G236" s="22"/>
      <c r="H236" s="22"/>
      <c r="I236" s="22"/>
    </row>
    <row r="237" spans="1:9" x14ac:dyDescent="0.25">
      <c r="A237" s="50"/>
      <c r="B237" s="59"/>
      <c r="C237" s="56"/>
      <c r="D237" s="32" t="s">
        <v>12</v>
      </c>
      <c r="E237" s="24"/>
      <c r="F237" s="24"/>
      <c r="G237" s="23"/>
      <c r="H237" s="23"/>
      <c r="I237" s="23"/>
    </row>
    <row r="238" spans="1:9" x14ac:dyDescent="0.25">
      <c r="A238" s="48">
        <v>11</v>
      </c>
      <c r="B238" s="57" t="s">
        <v>70</v>
      </c>
      <c r="C238" s="54" t="s">
        <v>73</v>
      </c>
      <c r="D238" s="19" t="s">
        <v>13</v>
      </c>
      <c r="E238" s="20">
        <f>SUM(E239:E241)</f>
        <v>0</v>
      </c>
      <c r="F238" s="20">
        <f t="shared" ref="F238:I238" si="74">SUM(F239:F241)</f>
        <v>0</v>
      </c>
      <c r="G238" s="20">
        <f t="shared" si="74"/>
        <v>0</v>
      </c>
      <c r="H238" s="20">
        <f t="shared" si="74"/>
        <v>0</v>
      </c>
      <c r="I238" s="20">
        <f t="shared" si="74"/>
        <v>0</v>
      </c>
    </row>
    <row r="239" spans="1:9" x14ac:dyDescent="0.25">
      <c r="A239" s="49"/>
      <c r="B239" s="58"/>
      <c r="C239" s="55"/>
      <c r="D239" s="33" t="s">
        <v>7</v>
      </c>
      <c r="E239" s="21"/>
      <c r="F239" s="21"/>
      <c r="G239" s="22"/>
      <c r="H239" s="22"/>
      <c r="I239" s="22"/>
    </row>
    <row r="240" spans="1:9" x14ac:dyDescent="0.25">
      <c r="A240" s="49"/>
      <c r="B240" s="58"/>
      <c r="C240" s="55"/>
      <c r="D240" s="33" t="s">
        <v>11</v>
      </c>
      <c r="E240" s="21"/>
      <c r="F240" s="21"/>
      <c r="G240" s="22"/>
      <c r="H240" s="22"/>
      <c r="I240" s="22"/>
    </row>
    <row r="241" spans="1:9" x14ac:dyDescent="0.25">
      <c r="A241" s="50"/>
      <c r="B241" s="59"/>
      <c r="C241" s="56"/>
      <c r="D241" s="32" t="s">
        <v>12</v>
      </c>
      <c r="E241" s="24"/>
      <c r="F241" s="24"/>
      <c r="G241" s="23"/>
      <c r="H241" s="23"/>
      <c r="I241" s="23"/>
    </row>
    <row r="242" spans="1:9" x14ac:dyDescent="0.25">
      <c r="A242" s="48">
        <v>12</v>
      </c>
      <c r="B242" s="57" t="s">
        <v>71</v>
      </c>
      <c r="C242" s="54" t="s">
        <v>73</v>
      </c>
      <c r="D242" s="19" t="s">
        <v>13</v>
      </c>
      <c r="E242" s="20">
        <f>SUM(E243:E245)</f>
        <v>0</v>
      </c>
      <c r="F242" s="20">
        <f t="shared" ref="F242:I242" si="75">SUM(F243:F245)</f>
        <v>0</v>
      </c>
      <c r="G242" s="20">
        <f t="shared" si="75"/>
        <v>0</v>
      </c>
      <c r="H242" s="20">
        <f t="shared" si="75"/>
        <v>0</v>
      </c>
      <c r="I242" s="20">
        <f t="shared" si="75"/>
        <v>0</v>
      </c>
    </row>
    <row r="243" spans="1:9" x14ac:dyDescent="0.25">
      <c r="A243" s="49"/>
      <c r="B243" s="58"/>
      <c r="C243" s="55"/>
      <c r="D243" s="33" t="s">
        <v>7</v>
      </c>
      <c r="E243" s="21"/>
      <c r="F243" s="21"/>
      <c r="G243" s="22"/>
      <c r="H243" s="22"/>
      <c r="I243" s="22"/>
    </row>
    <row r="244" spans="1:9" x14ac:dyDescent="0.25">
      <c r="A244" s="49"/>
      <c r="B244" s="58"/>
      <c r="C244" s="55"/>
      <c r="D244" s="33" t="s">
        <v>11</v>
      </c>
      <c r="E244" s="21"/>
      <c r="F244" s="21"/>
      <c r="G244" s="22"/>
      <c r="H244" s="22"/>
      <c r="I244" s="22"/>
    </row>
    <row r="245" spans="1:9" x14ac:dyDescent="0.25">
      <c r="A245" s="50"/>
      <c r="B245" s="59"/>
      <c r="C245" s="56"/>
      <c r="D245" s="32" t="s">
        <v>12</v>
      </c>
      <c r="E245" s="24"/>
      <c r="F245" s="24"/>
      <c r="G245" s="23"/>
      <c r="H245" s="23"/>
      <c r="I245" s="23"/>
    </row>
    <row r="246" spans="1:9" x14ac:dyDescent="0.25">
      <c r="A246" s="48">
        <v>13</v>
      </c>
      <c r="B246" s="57" t="s">
        <v>102</v>
      </c>
      <c r="C246" s="54" t="s">
        <v>73</v>
      </c>
      <c r="D246" s="19" t="s">
        <v>13</v>
      </c>
      <c r="E246" s="20">
        <f>SUM(E247:E249)</f>
        <v>0</v>
      </c>
      <c r="F246" s="20">
        <f t="shared" ref="F246:I246" si="76">SUM(F247:F249)</f>
        <v>414805.44</v>
      </c>
      <c r="G246" s="20">
        <f t="shared" si="76"/>
        <v>0</v>
      </c>
      <c r="H246" s="20">
        <f t="shared" si="76"/>
        <v>0</v>
      </c>
      <c r="I246" s="20">
        <f t="shared" si="76"/>
        <v>0</v>
      </c>
    </row>
    <row r="247" spans="1:9" x14ac:dyDescent="0.25">
      <c r="A247" s="49"/>
      <c r="B247" s="58"/>
      <c r="C247" s="55"/>
      <c r="D247" s="41" t="s">
        <v>7</v>
      </c>
      <c r="E247" s="21"/>
      <c r="F247" s="21"/>
      <c r="G247" s="22"/>
      <c r="H247" s="22"/>
      <c r="I247" s="22"/>
    </row>
    <row r="248" spans="1:9" x14ac:dyDescent="0.25">
      <c r="A248" s="49"/>
      <c r="B248" s="58"/>
      <c r="C248" s="55"/>
      <c r="D248" s="41" t="s">
        <v>11</v>
      </c>
      <c r="E248" s="21"/>
      <c r="F248" s="21"/>
      <c r="G248" s="22"/>
      <c r="H248" s="22"/>
      <c r="I248" s="22"/>
    </row>
    <row r="249" spans="1:9" x14ac:dyDescent="0.25">
      <c r="A249" s="50"/>
      <c r="B249" s="59"/>
      <c r="C249" s="56"/>
      <c r="D249" s="40" t="s">
        <v>12</v>
      </c>
      <c r="E249" s="24"/>
      <c r="F249" s="24">
        <v>414805.44</v>
      </c>
      <c r="G249" s="23"/>
      <c r="H249" s="23"/>
      <c r="I249" s="23"/>
    </row>
    <row r="250" spans="1:9" x14ac:dyDescent="0.25">
      <c r="A250" s="48">
        <v>14</v>
      </c>
      <c r="B250" s="57" t="s">
        <v>101</v>
      </c>
      <c r="C250" s="54" t="s">
        <v>73</v>
      </c>
      <c r="D250" s="19" t="s">
        <v>13</v>
      </c>
      <c r="E250" s="20">
        <f>SUM(E251:E253)</f>
        <v>0</v>
      </c>
      <c r="F250" s="20">
        <f t="shared" ref="F250:I250" si="77">SUM(F251:F253)</f>
        <v>666666.67000000004</v>
      </c>
      <c r="G250" s="20">
        <f t="shared" si="77"/>
        <v>0</v>
      </c>
      <c r="H250" s="20">
        <f t="shared" si="77"/>
        <v>0</v>
      </c>
      <c r="I250" s="20">
        <f t="shared" si="77"/>
        <v>0</v>
      </c>
    </row>
    <row r="251" spans="1:9" x14ac:dyDescent="0.25">
      <c r="A251" s="49"/>
      <c r="B251" s="58"/>
      <c r="C251" s="55"/>
      <c r="D251" s="33" t="s">
        <v>7</v>
      </c>
      <c r="E251" s="21"/>
      <c r="F251" s="21"/>
      <c r="G251" s="22"/>
      <c r="H251" s="22"/>
      <c r="I251" s="22"/>
    </row>
    <row r="252" spans="1:9" x14ac:dyDescent="0.25">
      <c r="A252" s="49"/>
      <c r="B252" s="58"/>
      <c r="C252" s="55"/>
      <c r="D252" s="33" t="s">
        <v>11</v>
      </c>
      <c r="E252" s="21"/>
      <c r="F252" s="21">
        <v>600000</v>
      </c>
      <c r="G252" s="22"/>
      <c r="H252" s="22"/>
      <c r="I252" s="22"/>
    </row>
    <row r="253" spans="1:9" x14ac:dyDescent="0.25">
      <c r="A253" s="50"/>
      <c r="B253" s="59"/>
      <c r="C253" s="56"/>
      <c r="D253" s="32" t="s">
        <v>12</v>
      </c>
      <c r="E253" s="24"/>
      <c r="F253" s="24">
        <v>66666.67</v>
      </c>
      <c r="G253" s="23"/>
      <c r="H253" s="23"/>
      <c r="I253" s="23"/>
    </row>
    <row r="254" spans="1:9" ht="16.95" customHeight="1" x14ac:dyDescent="0.25">
      <c r="A254" s="48">
        <v>15</v>
      </c>
      <c r="B254" s="57" t="s">
        <v>104</v>
      </c>
      <c r="C254" s="54" t="s">
        <v>73</v>
      </c>
      <c r="D254" s="19" t="s">
        <v>13</v>
      </c>
      <c r="E254" s="20">
        <f>SUM(E255:E257)</f>
        <v>0</v>
      </c>
      <c r="F254" s="20">
        <f t="shared" ref="F254:I254" si="78">SUM(F255:F257)</f>
        <v>2000000</v>
      </c>
      <c r="G254" s="20">
        <f t="shared" si="78"/>
        <v>0</v>
      </c>
      <c r="H254" s="20">
        <f t="shared" si="78"/>
        <v>0</v>
      </c>
      <c r="I254" s="20">
        <f t="shared" si="78"/>
        <v>0</v>
      </c>
    </row>
    <row r="255" spans="1:9" ht="16.95" customHeight="1" x14ac:dyDescent="0.25">
      <c r="A255" s="49"/>
      <c r="B255" s="58"/>
      <c r="C255" s="55"/>
      <c r="D255" s="44" t="s">
        <v>7</v>
      </c>
      <c r="E255" s="21"/>
      <c r="F255" s="21"/>
      <c r="G255" s="22"/>
      <c r="H255" s="22"/>
      <c r="I255" s="22"/>
    </row>
    <row r="256" spans="1:9" ht="16.95" customHeight="1" x14ac:dyDescent="0.25">
      <c r="A256" s="49"/>
      <c r="B256" s="58"/>
      <c r="C256" s="55"/>
      <c r="D256" s="44" t="s">
        <v>11</v>
      </c>
      <c r="E256" s="21"/>
      <c r="F256" s="21">
        <v>2000000</v>
      </c>
      <c r="G256" s="22"/>
      <c r="H256" s="22"/>
      <c r="I256" s="22"/>
    </row>
    <row r="257" spans="1:12" ht="16.95" customHeight="1" x14ac:dyDescent="0.25">
      <c r="A257" s="50"/>
      <c r="B257" s="59"/>
      <c r="C257" s="56"/>
      <c r="D257" s="45" t="s">
        <v>12</v>
      </c>
      <c r="E257" s="24"/>
      <c r="F257" s="24"/>
      <c r="G257" s="23"/>
      <c r="H257" s="23"/>
      <c r="I257" s="23"/>
    </row>
    <row r="258" spans="1:12" s="5" customFormat="1" ht="13.95" customHeight="1" x14ac:dyDescent="0.25">
      <c r="A258" s="65" t="s">
        <v>36</v>
      </c>
      <c r="B258" s="65" t="s">
        <v>37</v>
      </c>
      <c r="C258" s="54" t="s">
        <v>73</v>
      </c>
      <c r="D258" s="26" t="s">
        <v>10</v>
      </c>
      <c r="E258" s="27">
        <f>SUM(E259:E261)</f>
        <v>1114196.5</v>
      </c>
      <c r="F258" s="27">
        <f t="shared" ref="F258:I258" si="79">SUM(F259:F261)</f>
        <v>1051770.44</v>
      </c>
      <c r="G258" s="27">
        <f t="shared" si="79"/>
        <v>815635.16999999993</v>
      </c>
      <c r="H258" s="27">
        <f t="shared" si="79"/>
        <v>815635.16999999993</v>
      </c>
      <c r="I258" s="27">
        <f t="shared" si="79"/>
        <v>0</v>
      </c>
      <c r="K258" s="18"/>
      <c r="L258" s="18"/>
    </row>
    <row r="259" spans="1:12" s="5" customFormat="1" x14ac:dyDescent="0.25">
      <c r="A259" s="66"/>
      <c r="B259" s="66"/>
      <c r="C259" s="55"/>
      <c r="D259" s="34" t="s">
        <v>7</v>
      </c>
      <c r="E259" s="28">
        <f>E264+E268+E276</f>
        <v>0</v>
      </c>
      <c r="F259" s="28">
        <f t="shared" ref="F259:G259" si="80">F264+F268+F276</f>
        <v>0</v>
      </c>
      <c r="G259" s="28">
        <f t="shared" si="80"/>
        <v>0</v>
      </c>
      <c r="H259" s="28">
        <f t="shared" ref="H259" si="81">H264+H268+H276</f>
        <v>0</v>
      </c>
      <c r="I259" s="28"/>
    </row>
    <row r="260" spans="1:12" s="5" customFormat="1" x14ac:dyDescent="0.25">
      <c r="A260" s="66"/>
      <c r="B260" s="66"/>
      <c r="C260" s="55"/>
      <c r="D260" s="34" t="s">
        <v>11</v>
      </c>
      <c r="E260" s="28">
        <f t="shared" ref="E260:G261" si="82">E265+E269+E277</f>
        <v>558281.1</v>
      </c>
      <c r="F260" s="28">
        <f t="shared" si="82"/>
        <v>545232.27</v>
      </c>
      <c r="G260" s="28">
        <f t="shared" si="82"/>
        <v>489381.1</v>
      </c>
      <c r="H260" s="28">
        <f t="shared" ref="H260" si="83">H265+H269+H277</f>
        <v>489381.1</v>
      </c>
      <c r="I260" s="29"/>
    </row>
    <row r="261" spans="1:12" s="11" customFormat="1" x14ac:dyDescent="0.25">
      <c r="A261" s="67"/>
      <c r="B261" s="67"/>
      <c r="C261" s="56"/>
      <c r="D261" s="34" t="s">
        <v>12</v>
      </c>
      <c r="E261" s="28">
        <f t="shared" si="82"/>
        <v>555915.39999999991</v>
      </c>
      <c r="F261" s="28">
        <f t="shared" si="82"/>
        <v>506538.17</v>
      </c>
      <c r="G261" s="28">
        <f t="shared" si="82"/>
        <v>326254.07</v>
      </c>
      <c r="H261" s="28">
        <f t="shared" ref="H261" si="84">H266+H270+H278</f>
        <v>326254.07</v>
      </c>
      <c r="I261" s="29"/>
      <c r="L261" s="25"/>
    </row>
    <row r="262" spans="1:12" s="11" customFormat="1" x14ac:dyDescent="0.25">
      <c r="A262" s="68" t="s">
        <v>38</v>
      </c>
      <c r="B262" s="69"/>
      <c r="C262" s="69"/>
      <c r="D262" s="69"/>
      <c r="E262" s="69"/>
      <c r="F262" s="69"/>
      <c r="G262" s="69"/>
      <c r="H262" s="69"/>
      <c r="I262" s="70"/>
    </row>
    <row r="263" spans="1:12" s="11" customFormat="1" x14ac:dyDescent="0.25">
      <c r="A263" s="48">
        <v>1</v>
      </c>
      <c r="B263" s="51" t="s">
        <v>65</v>
      </c>
      <c r="C263" s="54" t="s">
        <v>73</v>
      </c>
      <c r="D263" s="19" t="s">
        <v>13</v>
      </c>
      <c r="E263" s="20">
        <f>SUM(E264:E266)</f>
        <v>49200</v>
      </c>
      <c r="F263" s="20">
        <f t="shared" ref="F263:I263" si="85">SUM(F264:F266)</f>
        <v>0</v>
      </c>
      <c r="G263" s="20">
        <f t="shared" si="85"/>
        <v>0</v>
      </c>
      <c r="H263" s="20">
        <f t="shared" si="85"/>
        <v>0</v>
      </c>
      <c r="I263" s="20">
        <f t="shared" si="85"/>
        <v>0</v>
      </c>
    </row>
    <row r="264" spans="1:12" s="11" customFormat="1" x14ac:dyDescent="0.25">
      <c r="A264" s="49"/>
      <c r="B264" s="52"/>
      <c r="C264" s="55"/>
      <c r="D264" s="33" t="s">
        <v>7</v>
      </c>
      <c r="E264" s="21"/>
      <c r="F264" s="21"/>
      <c r="G264" s="22"/>
      <c r="H264" s="22"/>
      <c r="I264" s="22"/>
    </row>
    <row r="265" spans="1:12" s="11" customFormat="1" x14ac:dyDescent="0.25">
      <c r="A265" s="49"/>
      <c r="B265" s="52"/>
      <c r="C265" s="55"/>
      <c r="D265" s="33" t="s">
        <v>11</v>
      </c>
      <c r="E265" s="21"/>
      <c r="F265" s="21"/>
      <c r="G265" s="22"/>
      <c r="H265" s="22"/>
      <c r="I265" s="22"/>
    </row>
    <row r="266" spans="1:12" s="11" customFormat="1" x14ac:dyDescent="0.25">
      <c r="A266" s="49"/>
      <c r="B266" s="53"/>
      <c r="C266" s="56"/>
      <c r="D266" s="32" t="s">
        <v>12</v>
      </c>
      <c r="E266" s="21">
        <f>20000+29200</f>
        <v>49200</v>
      </c>
      <c r="F266" s="21"/>
      <c r="G266" s="23"/>
      <c r="H266" s="23"/>
      <c r="I266" s="23"/>
    </row>
    <row r="267" spans="1:12" x14ac:dyDescent="0.25">
      <c r="A267" s="48">
        <v>2</v>
      </c>
      <c r="B267" s="57" t="s">
        <v>67</v>
      </c>
      <c r="C267" s="54" t="s">
        <v>73</v>
      </c>
      <c r="D267" s="19" t="s">
        <v>13</v>
      </c>
      <c r="E267" s="20">
        <f>SUM(E268:E270)</f>
        <v>930468.5</v>
      </c>
      <c r="F267" s="20">
        <f t="shared" ref="F267:I267" si="86">SUM(F268:F270)</f>
        <v>908720.44</v>
      </c>
      <c r="G267" s="20">
        <f t="shared" si="86"/>
        <v>815635.16999999993</v>
      </c>
      <c r="H267" s="20">
        <f t="shared" si="86"/>
        <v>815635.16999999993</v>
      </c>
      <c r="I267" s="20">
        <f t="shared" si="86"/>
        <v>0</v>
      </c>
    </row>
    <row r="268" spans="1:12" x14ac:dyDescent="0.25">
      <c r="A268" s="49"/>
      <c r="B268" s="58"/>
      <c r="C268" s="55"/>
      <c r="D268" s="33" t="s">
        <v>7</v>
      </c>
      <c r="E268" s="21"/>
      <c r="F268" s="21"/>
      <c r="G268" s="22"/>
      <c r="H268" s="22"/>
      <c r="I268" s="22"/>
    </row>
    <row r="269" spans="1:12" x14ac:dyDescent="0.25">
      <c r="A269" s="49"/>
      <c r="B269" s="58"/>
      <c r="C269" s="55"/>
      <c r="D269" s="33" t="s">
        <v>11</v>
      </c>
      <c r="E269" s="21">
        <f>E273</f>
        <v>558281.1</v>
      </c>
      <c r="F269" s="21">
        <f t="shared" ref="F269:H269" si="87">F273</f>
        <v>545232.27</v>
      </c>
      <c r="G269" s="21">
        <f t="shared" si="87"/>
        <v>489381.1</v>
      </c>
      <c r="H269" s="21">
        <f t="shared" si="87"/>
        <v>489381.1</v>
      </c>
      <c r="I269" s="22"/>
    </row>
    <row r="270" spans="1:12" x14ac:dyDescent="0.25">
      <c r="A270" s="49"/>
      <c r="B270" s="58"/>
      <c r="C270" s="56"/>
      <c r="D270" s="32" t="s">
        <v>12</v>
      </c>
      <c r="E270" s="24">
        <f>E274</f>
        <v>372187.39999999997</v>
      </c>
      <c r="F270" s="24">
        <f t="shared" ref="F270:H270" si="88">F274</f>
        <v>363488.17</v>
      </c>
      <c r="G270" s="24">
        <f t="shared" si="88"/>
        <v>326254.07</v>
      </c>
      <c r="H270" s="24">
        <f t="shared" si="88"/>
        <v>326254.07</v>
      </c>
      <c r="I270" s="23"/>
      <c r="K270" s="30"/>
    </row>
    <row r="271" spans="1:12" x14ac:dyDescent="0.25">
      <c r="A271" s="77" t="s">
        <v>66</v>
      </c>
      <c r="B271" s="57" t="s">
        <v>68</v>
      </c>
      <c r="C271" s="54" t="s">
        <v>73</v>
      </c>
      <c r="D271" s="19" t="s">
        <v>13</v>
      </c>
      <c r="E271" s="20">
        <f>SUM(E272:E274)</f>
        <v>930468.5</v>
      </c>
      <c r="F271" s="20">
        <f t="shared" ref="F271:I271" si="89">SUM(F272:F274)</f>
        <v>908720.44</v>
      </c>
      <c r="G271" s="20">
        <f t="shared" si="89"/>
        <v>815635.16999999993</v>
      </c>
      <c r="H271" s="20">
        <f t="shared" si="89"/>
        <v>815635.16999999993</v>
      </c>
      <c r="I271" s="20">
        <f t="shared" si="89"/>
        <v>0</v>
      </c>
      <c r="K271" s="30"/>
    </row>
    <row r="272" spans="1:12" x14ac:dyDescent="0.25">
      <c r="A272" s="78"/>
      <c r="B272" s="58"/>
      <c r="C272" s="55"/>
      <c r="D272" s="33" t="s">
        <v>7</v>
      </c>
      <c r="E272" s="21"/>
      <c r="F272" s="21"/>
      <c r="G272" s="22"/>
      <c r="H272" s="22"/>
      <c r="I272" s="22"/>
      <c r="K272" s="30"/>
    </row>
    <row r="273" spans="1:11" x14ac:dyDescent="0.25">
      <c r="A273" s="78"/>
      <c r="B273" s="58"/>
      <c r="C273" s="55"/>
      <c r="D273" s="33" t="s">
        <v>11</v>
      </c>
      <c r="E273" s="21">
        <f>683500-113521.9-11697</f>
        <v>558281.1</v>
      </c>
      <c r="F273" s="21">
        <f>489381.1+55851.17</f>
        <v>545232.27</v>
      </c>
      <c r="G273" s="21">
        <v>489381.1</v>
      </c>
      <c r="H273" s="22">
        <v>489381.1</v>
      </c>
      <c r="I273" s="22"/>
      <c r="K273" s="30"/>
    </row>
    <row r="274" spans="1:11" x14ac:dyDescent="0.25">
      <c r="A274" s="79"/>
      <c r="B274" s="59"/>
      <c r="C274" s="56"/>
      <c r="D274" s="32" t="s">
        <v>12</v>
      </c>
      <c r="E274" s="21">
        <f>455666.67-75681.27-7798</f>
        <v>372187.39999999997</v>
      </c>
      <c r="F274" s="24">
        <f>326254.07+37234.1</f>
        <v>363488.17</v>
      </c>
      <c r="G274" s="24">
        <v>326254.07</v>
      </c>
      <c r="H274" s="23">
        <v>326254.07</v>
      </c>
      <c r="I274" s="23"/>
      <c r="K274" s="30"/>
    </row>
    <row r="275" spans="1:11" x14ac:dyDescent="0.25">
      <c r="A275" s="48">
        <v>3</v>
      </c>
      <c r="B275" s="57" t="s">
        <v>53</v>
      </c>
      <c r="C275" s="54" t="s">
        <v>73</v>
      </c>
      <c r="D275" s="19" t="s">
        <v>13</v>
      </c>
      <c r="E275" s="20">
        <f>SUM(E276:E278)</f>
        <v>134528</v>
      </c>
      <c r="F275" s="20">
        <f t="shared" ref="F275:I275" si="90">SUM(F276:F278)</f>
        <v>143050</v>
      </c>
      <c r="G275" s="20">
        <f t="shared" si="90"/>
        <v>0</v>
      </c>
      <c r="H275" s="20">
        <f t="shared" si="90"/>
        <v>0</v>
      </c>
      <c r="I275" s="20">
        <f t="shared" si="90"/>
        <v>0</v>
      </c>
    </row>
    <row r="276" spans="1:11" x14ac:dyDescent="0.25">
      <c r="A276" s="49"/>
      <c r="B276" s="58"/>
      <c r="C276" s="55"/>
      <c r="D276" s="33" t="s">
        <v>7</v>
      </c>
      <c r="E276" s="21"/>
      <c r="F276" s="21"/>
      <c r="G276" s="22"/>
      <c r="H276" s="22"/>
      <c r="I276" s="22"/>
    </row>
    <row r="277" spans="1:11" x14ac:dyDescent="0.25">
      <c r="A277" s="49"/>
      <c r="B277" s="58"/>
      <c r="C277" s="55"/>
      <c r="D277" s="33" t="s">
        <v>11</v>
      </c>
      <c r="E277" s="21"/>
      <c r="F277" s="21"/>
      <c r="G277" s="22"/>
      <c r="H277" s="22"/>
      <c r="I277" s="22"/>
    </row>
    <row r="278" spans="1:11" x14ac:dyDescent="0.25">
      <c r="A278" s="50"/>
      <c r="B278" s="59"/>
      <c r="C278" s="56"/>
      <c r="D278" s="32" t="s">
        <v>12</v>
      </c>
      <c r="E278" s="24">
        <f>156650-22122</f>
        <v>134528</v>
      </c>
      <c r="F278" s="24">
        <f>156650-13600</f>
        <v>143050</v>
      </c>
      <c r="G278" s="23"/>
      <c r="H278" s="23"/>
      <c r="I278" s="23"/>
    </row>
    <row r="279" spans="1:11" ht="14.4" x14ac:dyDescent="0.25">
      <c r="A279" s="65" t="s">
        <v>50</v>
      </c>
      <c r="B279" s="65" t="s">
        <v>51</v>
      </c>
      <c r="C279" s="54" t="s">
        <v>73</v>
      </c>
      <c r="D279" s="26" t="s">
        <v>10</v>
      </c>
      <c r="E279" s="27">
        <f>SUM(E280:E282)</f>
        <v>150000</v>
      </c>
      <c r="F279" s="27">
        <f t="shared" ref="F279:I279" si="91">SUM(F280:F282)</f>
        <v>0</v>
      </c>
      <c r="G279" s="27">
        <f t="shared" si="91"/>
        <v>0</v>
      </c>
      <c r="H279" s="27">
        <f t="shared" si="91"/>
        <v>0</v>
      </c>
      <c r="I279" s="27">
        <f t="shared" si="91"/>
        <v>0</v>
      </c>
    </row>
    <row r="280" spans="1:11" x14ac:dyDescent="0.25">
      <c r="A280" s="66"/>
      <c r="B280" s="66"/>
      <c r="C280" s="55"/>
      <c r="D280" s="34" t="s">
        <v>7</v>
      </c>
      <c r="E280" s="28">
        <f>E285+E289</f>
        <v>0</v>
      </c>
      <c r="F280" s="28">
        <f t="shared" ref="F280:G280" si="92">F285+F289</f>
        <v>0</v>
      </c>
      <c r="G280" s="28">
        <f t="shared" si="92"/>
        <v>0</v>
      </c>
      <c r="H280" s="28"/>
      <c r="I280" s="28"/>
    </row>
    <row r="281" spans="1:11" x14ac:dyDescent="0.25">
      <c r="A281" s="66"/>
      <c r="B281" s="66"/>
      <c r="C281" s="55"/>
      <c r="D281" s="34" t="s">
        <v>11</v>
      </c>
      <c r="E281" s="28">
        <f t="shared" ref="E281:G282" si="93">E286+E290</f>
        <v>0</v>
      </c>
      <c r="F281" s="28">
        <f t="shared" si="93"/>
        <v>0</v>
      </c>
      <c r="G281" s="28">
        <f t="shared" si="93"/>
        <v>0</v>
      </c>
      <c r="H281" s="29"/>
      <c r="I281" s="29"/>
    </row>
    <row r="282" spans="1:11" x14ac:dyDescent="0.25">
      <c r="A282" s="67"/>
      <c r="B282" s="67"/>
      <c r="C282" s="56"/>
      <c r="D282" s="34" t="s">
        <v>12</v>
      </c>
      <c r="E282" s="28">
        <f t="shared" si="93"/>
        <v>150000</v>
      </c>
      <c r="F282" s="28">
        <f t="shared" si="93"/>
        <v>0</v>
      </c>
      <c r="G282" s="28">
        <f t="shared" si="93"/>
        <v>0</v>
      </c>
      <c r="H282" s="29"/>
      <c r="I282" s="29"/>
    </row>
    <row r="283" spans="1:11" ht="27.6" customHeight="1" x14ac:dyDescent="0.25">
      <c r="A283" s="71" t="s">
        <v>52</v>
      </c>
      <c r="B283" s="72"/>
      <c r="C283" s="72"/>
      <c r="D283" s="72"/>
      <c r="E283" s="72"/>
      <c r="F283" s="72"/>
      <c r="G283" s="72"/>
      <c r="H283" s="72"/>
      <c r="I283" s="73"/>
    </row>
    <row r="284" spans="1:11" x14ac:dyDescent="0.25">
      <c r="A284" s="48">
        <v>1</v>
      </c>
      <c r="B284" s="57" t="s">
        <v>54</v>
      </c>
      <c r="C284" s="54" t="s">
        <v>73</v>
      </c>
      <c r="D284" s="19" t="s">
        <v>13</v>
      </c>
      <c r="E284" s="20">
        <f>SUM(E285:E287)</f>
        <v>150000</v>
      </c>
      <c r="F284" s="20">
        <f t="shared" ref="F284:I284" si="94">SUM(F285:F287)</f>
        <v>0</v>
      </c>
      <c r="G284" s="20">
        <f t="shared" si="94"/>
        <v>0</v>
      </c>
      <c r="H284" s="20">
        <f t="shared" si="94"/>
        <v>0</v>
      </c>
      <c r="I284" s="20">
        <f t="shared" si="94"/>
        <v>0</v>
      </c>
    </row>
    <row r="285" spans="1:11" x14ac:dyDescent="0.25">
      <c r="A285" s="49"/>
      <c r="B285" s="58"/>
      <c r="C285" s="55"/>
      <c r="D285" s="33" t="s">
        <v>7</v>
      </c>
      <c r="E285" s="21"/>
      <c r="F285" s="21"/>
      <c r="G285" s="22"/>
      <c r="H285" s="22"/>
      <c r="I285" s="22"/>
    </row>
    <row r="286" spans="1:11" x14ac:dyDescent="0.25">
      <c r="A286" s="49"/>
      <c r="B286" s="58"/>
      <c r="C286" s="55"/>
      <c r="D286" s="33" t="s">
        <v>11</v>
      </c>
      <c r="E286" s="21"/>
      <c r="F286" s="21"/>
      <c r="G286" s="22"/>
      <c r="H286" s="22"/>
      <c r="I286" s="22"/>
    </row>
    <row r="287" spans="1:11" x14ac:dyDescent="0.25">
      <c r="A287" s="49"/>
      <c r="B287" s="58"/>
      <c r="C287" s="56"/>
      <c r="D287" s="32" t="s">
        <v>12</v>
      </c>
      <c r="E287" s="21">
        <v>150000</v>
      </c>
      <c r="F287" s="21"/>
      <c r="G287" s="23"/>
      <c r="H287" s="23"/>
      <c r="I287" s="23"/>
      <c r="K287" s="30"/>
    </row>
    <row r="288" spans="1:11" x14ac:dyDescent="0.25">
      <c r="A288" s="48">
        <v>2</v>
      </c>
      <c r="B288" s="57" t="s">
        <v>55</v>
      </c>
      <c r="C288" s="54" t="s">
        <v>73</v>
      </c>
      <c r="D288" s="19" t="s">
        <v>13</v>
      </c>
      <c r="E288" s="20">
        <f>SUM(E289:E291)</f>
        <v>0</v>
      </c>
      <c r="F288" s="20">
        <f t="shared" ref="F288:I288" si="95">SUM(F289:F291)</f>
        <v>0</v>
      </c>
      <c r="G288" s="20">
        <f t="shared" si="95"/>
        <v>0</v>
      </c>
      <c r="H288" s="20">
        <f t="shared" si="95"/>
        <v>0</v>
      </c>
      <c r="I288" s="20">
        <f t="shared" si="95"/>
        <v>0</v>
      </c>
    </row>
    <row r="289" spans="1:11" x14ac:dyDescent="0.25">
      <c r="A289" s="49"/>
      <c r="B289" s="58"/>
      <c r="C289" s="55"/>
      <c r="D289" s="33" t="s">
        <v>7</v>
      </c>
      <c r="E289" s="21"/>
      <c r="F289" s="21"/>
      <c r="G289" s="22"/>
      <c r="H289" s="22"/>
      <c r="I289" s="22"/>
    </row>
    <row r="290" spans="1:11" x14ac:dyDescent="0.25">
      <c r="A290" s="49"/>
      <c r="B290" s="58"/>
      <c r="C290" s="55"/>
      <c r="D290" s="33" t="s">
        <v>11</v>
      </c>
      <c r="E290" s="21"/>
      <c r="F290" s="21"/>
      <c r="G290" s="22"/>
      <c r="H290" s="22"/>
      <c r="I290" s="22"/>
    </row>
    <row r="291" spans="1:11" x14ac:dyDescent="0.25">
      <c r="A291" s="50"/>
      <c r="B291" s="59"/>
      <c r="C291" s="56"/>
      <c r="D291" s="32" t="s">
        <v>12</v>
      </c>
      <c r="E291" s="24"/>
      <c r="F291" s="24"/>
      <c r="G291" s="23"/>
      <c r="H291" s="23"/>
      <c r="I291" s="23"/>
    </row>
    <row r="292" spans="1:11" ht="14.4" x14ac:dyDescent="0.25">
      <c r="A292" s="65" t="s">
        <v>56</v>
      </c>
      <c r="B292" s="65" t="s">
        <v>57</v>
      </c>
      <c r="C292" s="54" t="s">
        <v>73</v>
      </c>
      <c r="D292" s="26" t="s">
        <v>10</v>
      </c>
      <c r="E292" s="27">
        <f>SUM(E293:E295)</f>
        <v>22947821</v>
      </c>
      <c r="F292" s="27">
        <f t="shared" ref="F292:I292" si="96">SUM(F293:F295)</f>
        <v>22503742.690000001</v>
      </c>
      <c r="G292" s="27">
        <f t="shared" si="96"/>
        <v>21540782</v>
      </c>
      <c r="H292" s="27">
        <f t="shared" si="96"/>
        <v>21540782</v>
      </c>
      <c r="I292" s="27">
        <f t="shared" si="96"/>
        <v>0</v>
      </c>
    </row>
    <row r="293" spans="1:11" x14ac:dyDescent="0.25">
      <c r="A293" s="66"/>
      <c r="B293" s="66"/>
      <c r="C293" s="55"/>
      <c r="D293" s="34" t="s">
        <v>7</v>
      </c>
      <c r="E293" s="28">
        <f>E298</f>
        <v>0</v>
      </c>
      <c r="F293" s="28">
        <f t="shared" ref="F293:G293" si="97">F298</f>
        <v>0</v>
      </c>
      <c r="G293" s="28">
        <f t="shared" si="97"/>
        <v>0</v>
      </c>
      <c r="H293" s="28">
        <f t="shared" ref="H293" si="98">H298</f>
        <v>0</v>
      </c>
      <c r="I293" s="28"/>
    </row>
    <row r="294" spans="1:11" x14ac:dyDescent="0.25">
      <c r="A294" s="66"/>
      <c r="B294" s="66"/>
      <c r="C294" s="55"/>
      <c r="D294" s="34" t="s">
        <v>11</v>
      </c>
      <c r="E294" s="28">
        <f>E299</f>
        <v>0</v>
      </c>
      <c r="F294" s="28">
        <f t="shared" ref="F294:G294" si="99">F299</f>
        <v>0</v>
      </c>
      <c r="G294" s="28">
        <f t="shared" si="99"/>
        <v>0</v>
      </c>
      <c r="H294" s="28">
        <f t="shared" ref="H294" si="100">H299</f>
        <v>0</v>
      </c>
      <c r="I294" s="29"/>
    </row>
    <row r="295" spans="1:11" x14ac:dyDescent="0.25">
      <c r="A295" s="67"/>
      <c r="B295" s="67"/>
      <c r="C295" s="56"/>
      <c r="D295" s="34" t="s">
        <v>12</v>
      </c>
      <c r="E295" s="28">
        <f>E300</f>
        <v>22947821</v>
      </c>
      <c r="F295" s="28">
        <f t="shared" ref="F295:G295" si="101">F300</f>
        <v>22503742.690000001</v>
      </c>
      <c r="G295" s="28">
        <f t="shared" si="101"/>
        <v>21540782</v>
      </c>
      <c r="H295" s="28">
        <f t="shared" ref="H295" si="102">H300</f>
        <v>21540782</v>
      </c>
      <c r="I295" s="29"/>
    </row>
    <row r="296" spans="1:11" x14ac:dyDescent="0.25">
      <c r="A296" s="88" t="s">
        <v>58</v>
      </c>
      <c r="B296" s="88"/>
      <c r="C296" s="88"/>
      <c r="D296" s="88"/>
      <c r="E296" s="88"/>
      <c r="F296" s="88"/>
      <c r="G296" s="88"/>
      <c r="H296" s="88"/>
      <c r="I296" s="88"/>
    </row>
    <row r="297" spans="1:11" x14ac:dyDescent="0.25">
      <c r="A297" s="60">
        <v>1</v>
      </c>
      <c r="B297" s="61" t="s">
        <v>59</v>
      </c>
      <c r="C297" s="54" t="s">
        <v>73</v>
      </c>
      <c r="D297" s="19" t="s">
        <v>13</v>
      </c>
      <c r="E297" s="20">
        <f>SUM(E298:E300)</f>
        <v>22947821</v>
      </c>
      <c r="F297" s="20">
        <f t="shared" ref="F297:I297" si="103">SUM(F298:F300)</f>
        <v>22503742.690000001</v>
      </c>
      <c r="G297" s="20">
        <f t="shared" si="103"/>
        <v>21540782</v>
      </c>
      <c r="H297" s="20">
        <f t="shared" si="103"/>
        <v>21540782</v>
      </c>
      <c r="I297" s="20">
        <f t="shared" si="103"/>
        <v>0</v>
      </c>
    </row>
    <row r="298" spans="1:11" x14ac:dyDescent="0.25">
      <c r="A298" s="60"/>
      <c r="B298" s="61"/>
      <c r="C298" s="55"/>
      <c r="D298" s="33" t="s">
        <v>7</v>
      </c>
      <c r="E298" s="21"/>
      <c r="F298" s="21"/>
      <c r="G298" s="22"/>
      <c r="H298" s="22"/>
      <c r="I298" s="22"/>
    </row>
    <row r="299" spans="1:11" x14ac:dyDescent="0.25">
      <c r="A299" s="60"/>
      <c r="B299" s="61"/>
      <c r="C299" s="55"/>
      <c r="D299" s="33" t="s">
        <v>11</v>
      </c>
      <c r="E299" s="21"/>
      <c r="F299" s="21"/>
      <c r="G299" s="22"/>
      <c r="H299" s="22"/>
      <c r="I299" s="22"/>
    </row>
    <row r="300" spans="1:11" x14ac:dyDescent="0.25">
      <c r="A300" s="60"/>
      <c r="B300" s="61"/>
      <c r="C300" s="56"/>
      <c r="D300" s="33" t="s">
        <v>12</v>
      </c>
      <c r="E300" s="21">
        <f>25311329-2163508-200000</f>
        <v>22947821</v>
      </c>
      <c r="F300" s="21">
        <f>22244182+70476+12928.5+222700-46543.81</f>
        <v>22503742.690000001</v>
      </c>
      <c r="G300" s="22">
        <v>21540782</v>
      </c>
      <c r="H300" s="22">
        <v>21540782</v>
      </c>
      <c r="I300" s="22"/>
      <c r="K300" s="30"/>
    </row>
  </sheetData>
  <mergeCells count="231">
    <mergeCell ref="A296:I296"/>
    <mergeCell ref="B41:B44"/>
    <mergeCell ref="B49:B52"/>
    <mergeCell ref="A49:A52"/>
    <mergeCell ref="A32:I32"/>
    <mergeCell ref="B69:B72"/>
    <mergeCell ref="A73:A76"/>
    <mergeCell ref="B73:B76"/>
    <mergeCell ref="C45:C48"/>
    <mergeCell ref="C49:C52"/>
    <mergeCell ref="C53:C56"/>
    <mergeCell ref="C57:C60"/>
    <mergeCell ref="C61:C64"/>
    <mergeCell ref="C65:C68"/>
    <mergeCell ref="A37:A40"/>
    <mergeCell ref="A57:A60"/>
    <mergeCell ref="C168:C171"/>
    <mergeCell ref="A140:A143"/>
    <mergeCell ref="B140:B143"/>
    <mergeCell ref="B57:B60"/>
    <mergeCell ref="A61:A64"/>
    <mergeCell ref="B61:B64"/>
    <mergeCell ref="A65:A68"/>
    <mergeCell ref="A86:A89"/>
    <mergeCell ref="G2:I2"/>
    <mergeCell ref="B37:B40"/>
    <mergeCell ref="A41:A44"/>
    <mergeCell ref="A283:I283"/>
    <mergeCell ref="A284:A287"/>
    <mergeCell ref="B284:B287"/>
    <mergeCell ref="A3:I3"/>
    <mergeCell ref="E5:I5"/>
    <mergeCell ref="B11:B14"/>
    <mergeCell ref="A11:A14"/>
    <mergeCell ref="B7:B10"/>
    <mergeCell ref="A7:A10"/>
    <mergeCell ref="D5:D6"/>
    <mergeCell ref="A5:A6"/>
    <mergeCell ref="B5:B6"/>
    <mergeCell ref="A16:A19"/>
    <mergeCell ref="B16:B19"/>
    <mergeCell ref="A20:A23"/>
    <mergeCell ref="B20:B23"/>
    <mergeCell ref="B24:B27"/>
    <mergeCell ref="A24:A27"/>
    <mergeCell ref="C5:C6"/>
    <mergeCell ref="C7:C10"/>
    <mergeCell ref="C11:C14"/>
    <mergeCell ref="A288:A291"/>
    <mergeCell ref="B288:B291"/>
    <mergeCell ref="A292:A295"/>
    <mergeCell ref="B292:B295"/>
    <mergeCell ref="A258:A261"/>
    <mergeCell ref="B258:B261"/>
    <mergeCell ref="A262:I262"/>
    <mergeCell ref="A267:A270"/>
    <mergeCell ref="B267:B270"/>
    <mergeCell ref="A279:A282"/>
    <mergeCell ref="B279:B282"/>
    <mergeCell ref="A275:A278"/>
    <mergeCell ref="B275:B278"/>
    <mergeCell ref="A271:A274"/>
    <mergeCell ref="B271:B274"/>
    <mergeCell ref="C288:C291"/>
    <mergeCell ref="C267:C270"/>
    <mergeCell ref="C271:C274"/>
    <mergeCell ref="C275:C278"/>
    <mergeCell ref="C279:C282"/>
    <mergeCell ref="C16:C19"/>
    <mergeCell ref="C20:C23"/>
    <mergeCell ref="C24:C27"/>
    <mergeCell ref="A15:I15"/>
    <mergeCell ref="B86:B89"/>
    <mergeCell ref="A78:A81"/>
    <mergeCell ref="B78:B81"/>
    <mergeCell ref="A77:I77"/>
    <mergeCell ref="A69:A72"/>
    <mergeCell ref="A82:A85"/>
    <mergeCell ref="B82:B85"/>
    <mergeCell ref="B65:B68"/>
    <mergeCell ref="C28:C31"/>
    <mergeCell ref="C37:C40"/>
    <mergeCell ref="C41:C44"/>
    <mergeCell ref="A45:A48"/>
    <mergeCell ref="B45:B48"/>
    <mergeCell ref="A53:A56"/>
    <mergeCell ref="B53:B56"/>
    <mergeCell ref="B28:B31"/>
    <mergeCell ref="A28:A31"/>
    <mergeCell ref="A180:I180"/>
    <mergeCell ref="A156:A159"/>
    <mergeCell ref="B156:B159"/>
    <mergeCell ref="A172:A175"/>
    <mergeCell ref="B172:B175"/>
    <mergeCell ref="A132:A135"/>
    <mergeCell ref="C128:C131"/>
    <mergeCell ref="A107:A110"/>
    <mergeCell ref="B107:B110"/>
    <mergeCell ref="C116:C119"/>
    <mergeCell ref="C120:C123"/>
    <mergeCell ref="A115:I115"/>
    <mergeCell ref="A116:A119"/>
    <mergeCell ref="B116:B119"/>
    <mergeCell ref="A120:A123"/>
    <mergeCell ref="B120:B123"/>
    <mergeCell ref="A128:A131"/>
    <mergeCell ref="B128:B131"/>
    <mergeCell ref="C124:C127"/>
    <mergeCell ref="B111:B114"/>
    <mergeCell ref="A124:A127"/>
    <mergeCell ref="B124:B127"/>
    <mergeCell ref="B176:B179"/>
    <mergeCell ref="A198:A201"/>
    <mergeCell ref="B198:B201"/>
    <mergeCell ref="C132:C135"/>
    <mergeCell ref="C136:C139"/>
    <mergeCell ref="C140:C143"/>
    <mergeCell ref="C144:C147"/>
    <mergeCell ref="C148:C151"/>
    <mergeCell ref="C152:C155"/>
    <mergeCell ref="C156:C159"/>
    <mergeCell ref="C164:C167"/>
    <mergeCell ref="A181:A184"/>
    <mergeCell ref="B181:B184"/>
    <mergeCell ref="C172:C175"/>
    <mergeCell ref="C160:C163"/>
    <mergeCell ref="A168:A171"/>
    <mergeCell ref="B168:B171"/>
    <mergeCell ref="A160:A163"/>
    <mergeCell ref="B160:B163"/>
    <mergeCell ref="A164:A167"/>
    <mergeCell ref="B164:B167"/>
    <mergeCell ref="C176:C179"/>
    <mergeCell ref="A189:A192"/>
    <mergeCell ref="B189:B192"/>
    <mergeCell ref="A185:A188"/>
    <mergeCell ref="B185:B188"/>
    <mergeCell ref="A193:I193"/>
    <mergeCell ref="A194:A197"/>
    <mergeCell ref="B194:B197"/>
    <mergeCell ref="A90:I90"/>
    <mergeCell ref="A144:A147"/>
    <mergeCell ref="B144:B147"/>
    <mergeCell ref="A148:A151"/>
    <mergeCell ref="B148:B151"/>
    <mergeCell ref="A152:A155"/>
    <mergeCell ref="B152:B155"/>
    <mergeCell ref="A176:A179"/>
    <mergeCell ref="B132:B135"/>
    <mergeCell ref="A136:A139"/>
    <mergeCell ref="B136:B139"/>
    <mergeCell ref="A103:A106"/>
    <mergeCell ref="B103:B106"/>
    <mergeCell ref="A99:A102"/>
    <mergeCell ref="B99:B102"/>
    <mergeCell ref="A111:A114"/>
    <mergeCell ref="B213:B216"/>
    <mergeCell ref="A217:I217"/>
    <mergeCell ref="A218:A221"/>
    <mergeCell ref="B218:B221"/>
    <mergeCell ref="B203:B206"/>
    <mergeCell ref="A202:I202"/>
    <mergeCell ref="A226:A229"/>
    <mergeCell ref="B226:B229"/>
    <mergeCell ref="C213:C216"/>
    <mergeCell ref="A207:I207"/>
    <mergeCell ref="A208:A211"/>
    <mergeCell ref="B208:B211"/>
    <mergeCell ref="C203:C206"/>
    <mergeCell ref="C208:C211"/>
    <mergeCell ref="A212:I212"/>
    <mergeCell ref="A213:A216"/>
    <mergeCell ref="A203:A206"/>
    <mergeCell ref="C230:C233"/>
    <mergeCell ref="C234:C237"/>
    <mergeCell ref="C238:C241"/>
    <mergeCell ref="C218:C221"/>
    <mergeCell ref="C222:C225"/>
    <mergeCell ref="C226:C229"/>
    <mergeCell ref="A230:A233"/>
    <mergeCell ref="B230:B233"/>
    <mergeCell ref="A234:A237"/>
    <mergeCell ref="B234:B237"/>
    <mergeCell ref="C246:C249"/>
    <mergeCell ref="A297:A300"/>
    <mergeCell ref="B297:B300"/>
    <mergeCell ref="C292:C295"/>
    <mergeCell ref="C297:C300"/>
    <mergeCell ref="C69:C72"/>
    <mergeCell ref="C73:C76"/>
    <mergeCell ref="C78:C81"/>
    <mergeCell ref="C82:C85"/>
    <mergeCell ref="C86:C89"/>
    <mergeCell ref="B91:B94"/>
    <mergeCell ref="A95:A98"/>
    <mergeCell ref="B95:B98"/>
    <mergeCell ref="C284:C287"/>
    <mergeCell ref="A91:A94"/>
    <mergeCell ref="B250:B253"/>
    <mergeCell ref="C91:C94"/>
    <mergeCell ref="C95:C98"/>
    <mergeCell ref="C99:C102"/>
    <mergeCell ref="C103:C106"/>
    <mergeCell ref="C107:C110"/>
    <mergeCell ref="C111:C114"/>
    <mergeCell ref="A238:A241"/>
    <mergeCell ref="B238:B241"/>
    <mergeCell ref="A250:A253"/>
    <mergeCell ref="A263:A266"/>
    <mergeCell ref="B263:B266"/>
    <mergeCell ref="A33:A36"/>
    <mergeCell ref="B33:B36"/>
    <mergeCell ref="C33:C36"/>
    <mergeCell ref="C181:C184"/>
    <mergeCell ref="C185:C188"/>
    <mergeCell ref="C189:C192"/>
    <mergeCell ref="C194:C197"/>
    <mergeCell ref="C198:C201"/>
    <mergeCell ref="C242:C245"/>
    <mergeCell ref="C250:C253"/>
    <mergeCell ref="C258:C261"/>
    <mergeCell ref="C263:C266"/>
    <mergeCell ref="A242:A245"/>
    <mergeCell ref="B242:B245"/>
    <mergeCell ref="A222:A225"/>
    <mergeCell ref="B222:B225"/>
    <mergeCell ref="A254:A257"/>
    <mergeCell ref="B254:B257"/>
    <mergeCell ref="C254:C257"/>
    <mergeCell ref="A246:A249"/>
    <mergeCell ref="B246:B249"/>
  </mergeCells>
  <pageMargins left="0.23622047244094491" right="0.23622047244094491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2022-11-11T12:27:59Z</dcterms:modified>
</cp:coreProperties>
</file>