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</sheets>
  <definedNames>
    <definedName name="_xlnm.Print_Area" localSheetId="0">Лист1!$A$1:$I$237</definedName>
  </definedNames>
  <calcPr calcId="152511"/>
</workbook>
</file>

<file path=xl/calcChain.xml><?xml version="1.0" encoding="utf-8"?>
<calcChain xmlns="http://schemas.openxmlformats.org/spreadsheetml/2006/main">
  <c r="I237" i="1" l="1"/>
  <c r="I73" i="1"/>
  <c r="I186" i="1" l="1"/>
  <c r="I185" i="1"/>
  <c r="I93" i="1"/>
  <c r="I92" i="1"/>
  <c r="I31" i="1"/>
  <c r="I30" i="1"/>
  <c r="I178" i="1"/>
  <c r="I79" i="1"/>
  <c r="I76" i="1"/>
  <c r="I22" i="1"/>
  <c r="I19" i="1"/>
  <c r="I104" i="1" l="1"/>
  <c r="I103" i="1"/>
  <c r="I100" i="1" l="1"/>
  <c r="I34" i="1"/>
  <c r="I105" i="1" l="1"/>
  <c r="I151" i="1" l="1"/>
  <c r="I114" i="1"/>
  <c r="I160" i="1" l="1"/>
  <c r="I167" i="1"/>
  <c r="I155" i="1" l="1"/>
  <c r="I154" i="1"/>
  <c r="I153" i="1"/>
  <c r="I168" i="1"/>
  <c r="I165" i="1"/>
  <c r="H165" i="1"/>
  <c r="G165" i="1"/>
  <c r="F165" i="1"/>
  <c r="E165" i="1"/>
  <c r="I161" i="1"/>
  <c r="H161" i="1"/>
  <c r="G161" i="1"/>
  <c r="F161" i="1"/>
  <c r="E161" i="1"/>
  <c r="I130" i="1"/>
  <c r="I89" i="1"/>
  <c r="I88" i="1"/>
  <c r="I27" i="1"/>
  <c r="I26" i="1"/>
  <c r="I122" i="1" l="1"/>
  <c r="I52" i="1"/>
  <c r="I215" i="1" l="1"/>
  <c r="I214" i="1"/>
  <c r="I133" i="1" l="1"/>
  <c r="F221" i="1" l="1"/>
  <c r="G221" i="1"/>
  <c r="H221" i="1"/>
  <c r="I221" i="1"/>
  <c r="F222" i="1"/>
  <c r="G222" i="1"/>
  <c r="H222" i="1"/>
  <c r="I222" i="1"/>
  <c r="F223" i="1"/>
  <c r="G223" i="1"/>
  <c r="H223" i="1"/>
  <c r="I223" i="1"/>
  <c r="E223" i="1"/>
  <c r="E222" i="1"/>
  <c r="E221" i="1"/>
  <c r="F153" i="1"/>
  <c r="G153" i="1"/>
  <c r="H153" i="1"/>
  <c r="E154" i="1"/>
  <c r="E153" i="1"/>
  <c r="E157" i="1"/>
  <c r="F157" i="1"/>
  <c r="G157" i="1"/>
  <c r="H157" i="1"/>
  <c r="I157" i="1"/>
  <c r="E66" i="1"/>
  <c r="I59" i="1"/>
  <c r="F12" i="1"/>
  <c r="G12" i="1"/>
  <c r="H12" i="1"/>
  <c r="I12" i="1"/>
  <c r="E12" i="1"/>
  <c r="I64" i="1" l="1"/>
  <c r="G61" i="1"/>
  <c r="H61" i="1"/>
  <c r="F61" i="1"/>
  <c r="E61" i="1"/>
  <c r="F57" i="1"/>
  <c r="E57" i="1"/>
  <c r="H57" i="1"/>
  <c r="I138" i="1"/>
  <c r="I134" i="1" s="1"/>
  <c r="I61" i="1" l="1"/>
  <c r="I60" i="1"/>
  <c r="I57" i="1" s="1"/>
  <c r="G57" i="1"/>
  <c r="I182" i="1"/>
  <c r="I181" i="1"/>
  <c r="I66" i="1" l="1"/>
  <c r="I121" i="1"/>
  <c r="I210" i="1"/>
  <c r="I211" i="1"/>
  <c r="H178" i="1"/>
  <c r="H76" i="1"/>
  <c r="H73" i="1"/>
  <c r="H22" i="1"/>
  <c r="H19" i="1"/>
  <c r="H79" i="1"/>
  <c r="H237" i="1"/>
  <c r="H31" i="1"/>
  <c r="H30" i="1"/>
  <c r="I68" i="1" l="1"/>
  <c r="I67" i="1"/>
  <c r="H182" i="1"/>
  <c r="H181" i="1"/>
  <c r="H105" i="1"/>
  <c r="H104" i="1"/>
  <c r="H103" i="1"/>
  <c r="H100" i="1" l="1"/>
  <c r="H34" i="1"/>
  <c r="H186" i="1" l="1"/>
  <c r="H155" i="1" s="1"/>
  <c r="H185" i="1"/>
  <c r="H154" i="1" s="1"/>
  <c r="H92" i="1"/>
  <c r="H93" i="1"/>
  <c r="H89" i="1" l="1"/>
  <c r="H88" i="1"/>
  <c r="H27" i="1"/>
  <c r="H26" i="1"/>
  <c r="I82" i="1" l="1"/>
  <c r="H82" i="1"/>
  <c r="G82" i="1"/>
  <c r="F82" i="1"/>
  <c r="E82" i="1"/>
  <c r="H126" i="1" l="1"/>
  <c r="H44" i="1"/>
  <c r="H130" i="1" l="1"/>
  <c r="H151" i="1"/>
  <c r="I148" i="1" l="1"/>
  <c r="H148" i="1"/>
  <c r="G148" i="1"/>
  <c r="F148" i="1"/>
  <c r="E148" i="1"/>
  <c r="H215" i="1"/>
  <c r="H214" i="1"/>
  <c r="H122" i="1" l="1"/>
  <c r="H121" i="1"/>
  <c r="H52" i="1"/>
  <c r="H14" i="1" s="1"/>
  <c r="H51" i="1"/>
  <c r="H13" i="1" s="1"/>
  <c r="H96" i="1" l="1"/>
  <c r="H95" i="1"/>
  <c r="H211" i="1" l="1"/>
  <c r="H210" i="1"/>
  <c r="H120" i="1"/>
  <c r="H66" i="1" s="1"/>
  <c r="H133" i="1"/>
  <c r="H67" i="1" s="1"/>
  <c r="H134" i="1"/>
  <c r="H68" i="1" s="1"/>
  <c r="I14" i="1"/>
  <c r="I13" i="1"/>
  <c r="G237" i="1" l="1"/>
  <c r="G178" i="1"/>
  <c r="G73" i="1"/>
  <c r="G19" i="1" l="1"/>
  <c r="G76" i="1" l="1"/>
  <c r="G182" i="1" l="1"/>
  <c r="G181" i="1"/>
  <c r="G100" i="1" l="1"/>
  <c r="G34" i="1"/>
  <c r="G22" i="1" l="1"/>
  <c r="G186" i="1" l="1"/>
  <c r="G155" i="1" s="1"/>
  <c r="G185" i="1"/>
  <c r="G154" i="1" s="1"/>
  <c r="G93" i="1"/>
  <c r="G92" i="1"/>
  <c r="G31" i="1"/>
  <c r="G30" i="1"/>
  <c r="G219" i="1" l="1"/>
  <c r="I183" i="1"/>
  <c r="H183" i="1"/>
  <c r="G183" i="1"/>
  <c r="F183" i="1"/>
  <c r="E183" i="1"/>
  <c r="G110" i="1"/>
  <c r="I94" i="1"/>
  <c r="H94" i="1"/>
  <c r="G94" i="1"/>
  <c r="F94" i="1"/>
  <c r="E94" i="1"/>
  <c r="F90" i="1"/>
  <c r="G90" i="1"/>
  <c r="I90" i="1"/>
  <c r="H90" i="1"/>
  <c r="E90" i="1"/>
  <c r="G56" i="1"/>
  <c r="E28" i="1"/>
  <c r="I28" i="1"/>
  <c r="H28" i="1"/>
  <c r="G28" i="1"/>
  <c r="F28" i="1"/>
  <c r="G52" i="1" l="1"/>
  <c r="G146" i="1" l="1"/>
  <c r="G122" i="1" l="1"/>
  <c r="G215" i="1" l="1"/>
  <c r="G214" i="1"/>
  <c r="G104" i="1" l="1"/>
  <c r="G103" i="1"/>
  <c r="F105" i="1" l="1"/>
  <c r="F104" i="1"/>
  <c r="F103" i="1"/>
  <c r="F66" i="1" s="1"/>
  <c r="F73" i="1"/>
  <c r="F89" i="1" l="1"/>
  <c r="F88" i="1"/>
  <c r="I230" i="1" l="1"/>
  <c r="I231" i="1"/>
  <c r="I232" i="1"/>
  <c r="I202" i="1"/>
  <c r="G207" i="1"/>
  <c r="I201" i="1"/>
  <c r="G210" i="1"/>
  <c r="G211" i="1"/>
  <c r="G142" i="1"/>
  <c r="G138" i="1"/>
  <c r="G133" i="1"/>
  <c r="G105" i="1"/>
  <c r="G79" i="1"/>
  <c r="G66" i="1" s="1"/>
  <c r="G121" i="1"/>
  <c r="G89" i="1"/>
  <c r="G88" i="1"/>
  <c r="G51" i="1"/>
  <c r="G27" i="1"/>
  <c r="G14" i="1" s="1"/>
  <c r="G26" i="1"/>
  <c r="G13" i="1" s="1"/>
  <c r="F237" i="1"/>
  <c r="F178" i="1"/>
  <c r="F146" i="1"/>
  <c r="F110" i="1"/>
  <c r="F76" i="1"/>
  <c r="F34" i="1"/>
  <c r="F22" i="1"/>
  <c r="F19" i="1"/>
  <c r="G67" i="1" l="1"/>
  <c r="I220" i="1"/>
  <c r="H220" i="1"/>
  <c r="I152" i="1"/>
  <c r="G134" i="1"/>
  <c r="G68" i="1" s="1"/>
  <c r="I65" i="1"/>
  <c r="I10" i="1"/>
  <c r="I11" i="1"/>
  <c r="I8" i="1"/>
  <c r="I9" i="1" l="1"/>
  <c r="I7" i="1" s="1"/>
  <c r="F219" i="1"/>
  <c r="I195" i="1" l="1"/>
  <c r="H195" i="1"/>
  <c r="G195" i="1"/>
  <c r="F195" i="1"/>
  <c r="E195" i="1"/>
  <c r="F122" i="1" l="1"/>
  <c r="F52" i="1"/>
  <c r="F121" i="1"/>
  <c r="F51" i="1"/>
  <c r="F13" i="1" s="1"/>
  <c r="F182" i="1"/>
  <c r="F155" i="1" s="1"/>
  <c r="F181" i="1"/>
  <c r="F154" i="1" s="1"/>
  <c r="I143" i="1" l="1"/>
  <c r="H143" i="1"/>
  <c r="G143" i="1"/>
  <c r="F143" i="1"/>
  <c r="E143" i="1"/>
  <c r="F118" i="1"/>
  <c r="F48" i="1"/>
  <c r="F14" i="1" s="1"/>
  <c r="F40" i="1"/>
  <c r="I187" i="1" l="1"/>
  <c r="H187" i="1"/>
  <c r="G187" i="1"/>
  <c r="F187" i="1"/>
  <c r="E187" i="1"/>
  <c r="F215" i="1" l="1"/>
  <c r="F214" i="1"/>
  <c r="I115" i="1" l="1"/>
  <c r="H115" i="1"/>
  <c r="G115" i="1"/>
  <c r="F115" i="1"/>
  <c r="E115" i="1"/>
  <c r="E89" i="1" l="1"/>
  <c r="E100" i="1" l="1"/>
  <c r="E34" i="1"/>
  <c r="H230" i="1" l="1"/>
  <c r="H231" i="1"/>
  <c r="H232" i="1"/>
  <c r="H200" i="1"/>
  <c r="F210" i="1"/>
  <c r="H201" i="1"/>
  <c r="F211" i="1"/>
  <c r="H202" i="1"/>
  <c r="E173" i="1"/>
  <c r="E178" i="1"/>
  <c r="F133" i="1"/>
  <c r="F67" i="1" s="1"/>
  <c r="F134" i="1"/>
  <c r="F68" i="1" s="1"/>
  <c r="E122" i="1"/>
  <c r="E121" i="1"/>
  <c r="E155" i="1" l="1"/>
  <c r="H8" i="1"/>
  <c r="H9" i="1"/>
  <c r="H10" i="1"/>
  <c r="I37" i="1"/>
  <c r="H37" i="1"/>
  <c r="G37" i="1"/>
  <c r="F37" i="1"/>
  <c r="E37" i="1"/>
  <c r="E76" i="1"/>
  <c r="E22" i="1"/>
  <c r="E207" i="1"/>
  <c r="E73" i="1"/>
  <c r="E19" i="1"/>
  <c r="E88" i="1" l="1"/>
  <c r="E26" i="1"/>
  <c r="E13" i="1" s="1"/>
  <c r="E27" i="1" l="1"/>
  <c r="E219" i="1"/>
  <c r="E110" i="1"/>
  <c r="E237" i="1" l="1"/>
  <c r="E52" i="1" l="1"/>
  <c r="E44" i="1"/>
  <c r="E14" i="1" s="1"/>
  <c r="E215" i="1" l="1"/>
  <c r="E214" i="1"/>
  <c r="E142" i="1" l="1"/>
  <c r="E134" i="1" s="1"/>
  <c r="E68" i="1" s="1"/>
  <c r="E133" i="1"/>
  <c r="E67" i="1" l="1"/>
  <c r="E65" i="1" s="1"/>
  <c r="F200" i="1"/>
  <c r="G200" i="1"/>
  <c r="E200" i="1"/>
  <c r="F201" i="1"/>
  <c r="G201" i="1"/>
  <c r="F202" i="1"/>
  <c r="G202" i="1"/>
  <c r="E211" i="1"/>
  <c r="E202" i="1" s="1"/>
  <c r="E210" i="1"/>
  <c r="E201" i="1" s="1"/>
  <c r="I212" i="1"/>
  <c r="H212" i="1"/>
  <c r="G212" i="1"/>
  <c r="F212" i="1"/>
  <c r="E212" i="1"/>
  <c r="I204" i="1"/>
  <c r="H204" i="1"/>
  <c r="G204" i="1"/>
  <c r="F204" i="1"/>
  <c r="E204" i="1"/>
  <c r="I139" i="1"/>
  <c r="H139" i="1"/>
  <c r="G139" i="1"/>
  <c r="F139" i="1"/>
  <c r="E139" i="1"/>
  <c r="I135" i="1"/>
  <c r="H135" i="1"/>
  <c r="G135" i="1"/>
  <c r="F135" i="1"/>
  <c r="E135" i="1"/>
  <c r="I191" i="1" l="1"/>
  <c r="H191" i="1"/>
  <c r="G191" i="1"/>
  <c r="F191" i="1"/>
  <c r="E191" i="1"/>
  <c r="F230" i="1"/>
  <c r="G230" i="1"/>
  <c r="F231" i="1"/>
  <c r="G231" i="1"/>
  <c r="F232" i="1"/>
  <c r="G232" i="1"/>
  <c r="E232" i="1"/>
  <c r="E231" i="1"/>
  <c r="E230" i="1"/>
  <c r="I234" i="1"/>
  <c r="H234" i="1"/>
  <c r="G234" i="1"/>
  <c r="F234" i="1"/>
  <c r="E234" i="1"/>
  <c r="I229" i="1"/>
  <c r="H229" i="1"/>
  <c r="I225" i="1"/>
  <c r="H225" i="1"/>
  <c r="G225" i="1"/>
  <c r="F225" i="1"/>
  <c r="E225" i="1"/>
  <c r="G229" i="1" l="1"/>
  <c r="F229" i="1"/>
  <c r="E229" i="1"/>
  <c r="E220" i="1"/>
  <c r="F220" i="1"/>
  <c r="G220" i="1"/>
  <c r="I179" i="1"/>
  <c r="H179" i="1"/>
  <c r="G179" i="1"/>
  <c r="F179" i="1"/>
  <c r="E179" i="1"/>
  <c r="I175" i="1"/>
  <c r="H175" i="1"/>
  <c r="G175" i="1"/>
  <c r="F175" i="1"/>
  <c r="E175" i="1"/>
  <c r="I170" i="1"/>
  <c r="H170" i="1"/>
  <c r="G170" i="1"/>
  <c r="F170" i="1"/>
  <c r="E170" i="1"/>
  <c r="I216" i="1" l="1"/>
  <c r="H216" i="1"/>
  <c r="G216" i="1"/>
  <c r="F216" i="1"/>
  <c r="E216" i="1"/>
  <c r="I208" i="1"/>
  <c r="H208" i="1"/>
  <c r="G208" i="1"/>
  <c r="F208" i="1"/>
  <c r="E208" i="1"/>
  <c r="I199" i="1"/>
  <c r="H199" i="1"/>
  <c r="G199" i="1" l="1"/>
  <c r="E199" i="1"/>
  <c r="F199" i="1"/>
  <c r="F152" i="1"/>
  <c r="H152" i="1"/>
  <c r="G152" i="1"/>
  <c r="E152" i="1"/>
  <c r="I131" i="1"/>
  <c r="H131" i="1"/>
  <c r="G131" i="1"/>
  <c r="F131" i="1"/>
  <c r="E131" i="1"/>
  <c r="I127" i="1"/>
  <c r="H127" i="1"/>
  <c r="G127" i="1"/>
  <c r="F127" i="1"/>
  <c r="E127" i="1"/>
  <c r="I123" i="1"/>
  <c r="H123" i="1"/>
  <c r="G123" i="1"/>
  <c r="F123" i="1"/>
  <c r="E123" i="1"/>
  <c r="I102" i="1"/>
  <c r="H102" i="1"/>
  <c r="G102" i="1"/>
  <c r="F102" i="1"/>
  <c r="E102" i="1"/>
  <c r="I78" i="1"/>
  <c r="H78" i="1"/>
  <c r="G78" i="1"/>
  <c r="F78" i="1"/>
  <c r="E78" i="1"/>
  <c r="I119" i="1"/>
  <c r="H119" i="1"/>
  <c r="G119" i="1"/>
  <c r="F119" i="1"/>
  <c r="E119" i="1"/>
  <c r="I111" i="1"/>
  <c r="H111" i="1"/>
  <c r="G111" i="1"/>
  <c r="F111" i="1"/>
  <c r="E111" i="1"/>
  <c r="I107" i="1"/>
  <c r="H107" i="1"/>
  <c r="G107" i="1"/>
  <c r="F107" i="1"/>
  <c r="E107" i="1"/>
  <c r="I98" i="1"/>
  <c r="H98" i="1"/>
  <c r="G98" i="1"/>
  <c r="F98" i="1"/>
  <c r="E98" i="1"/>
  <c r="I86" i="1"/>
  <c r="H86" i="1"/>
  <c r="G86" i="1"/>
  <c r="F86" i="1"/>
  <c r="E86" i="1"/>
  <c r="I74" i="1"/>
  <c r="H74" i="1"/>
  <c r="G74" i="1"/>
  <c r="F74" i="1"/>
  <c r="E74" i="1"/>
  <c r="I70" i="1"/>
  <c r="H70" i="1"/>
  <c r="G70" i="1"/>
  <c r="F70" i="1"/>
  <c r="E70" i="1"/>
  <c r="H65" i="1"/>
  <c r="G65" i="1" l="1"/>
  <c r="F65" i="1"/>
  <c r="H7" i="1"/>
  <c r="F8" i="1" l="1"/>
  <c r="G8" i="1"/>
  <c r="F9" i="1"/>
  <c r="G9" i="1"/>
  <c r="F10" i="1"/>
  <c r="G10" i="1"/>
  <c r="E10" i="1"/>
  <c r="E9" i="1"/>
  <c r="E8" i="1"/>
  <c r="H11" i="1"/>
  <c r="I53" i="1"/>
  <c r="H53" i="1"/>
  <c r="G53" i="1"/>
  <c r="F53" i="1"/>
  <c r="E53" i="1"/>
  <c r="I49" i="1"/>
  <c r="H49" i="1"/>
  <c r="G49" i="1"/>
  <c r="F49" i="1"/>
  <c r="E49" i="1"/>
  <c r="I45" i="1"/>
  <c r="H45" i="1"/>
  <c r="G45" i="1"/>
  <c r="F45" i="1"/>
  <c r="E45" i="1"/>
  <c r="I41" i="1"/>
  <c r="H41" i="1"/>
  <c r="G41" i="1"/>
  <c r="F41" i="1"/>
  <c r="E41" i="1"/>
  <c r="E7" i="1" l="1"/>
  <c r="F7" i="1"/>
  <c r="G7" i="1"/>
  <c r="F11" i="1"/>
  <c r="E11" i="1"/>
  <c r="G11" i="1"/>
  <c r="I32" i="1"/>
  <c r="H32" i="1"/>
  <c r="G32" i="1"/>
  <c r="F32" i="1"/>
  <c r="E32" i="1"/>
  <c r="I24" i="1"/>
  <c r="H24" i="1"/>
  <c r="G24" i="1"/>
  <c r="F24" i="1"/>
  <c r="E24" i="1"/>
  <c r="I20" i="1"/>
  <c r="H20" i="1"/>
  <c r="G20" i="1"/>
  <c r="F20" i="1"/>
  <c r="E20" i="1"/>
  <c r="F16" i="1"/>
  <c r="G16" i="1"/>
  <c r="H16" i="1"/>
  <c r="I16" i="1"/>
  <c r="E16" i="1"/>
</calcChain>
</file>

<file path=xl/sharedStrings.xml><?xml version="1.0" encoding="utf-8"?>
<sst xmlns="http://schemas.openxmlformats.org/spreadsheetml/2006/main" count="359" uniqueCount="90">
  <si>
    <t>Статус</t>
  </si>
  <si>
    <t>Наименование муниципальной программы, основного мероприятия</t>
  </si>
  <si>
    <t>Муниципальная программа</t>
  </si>
  <si>
    <t>Развитие образования в Княжпогостском районе</t>
  </si>
  <si>
    <t>Подпрограмма 1</t>
  </si>
  <si>
    <t>Развитие системы дошкольного образования в Княжпогостском районе</t>
  </si>
  <si>
    <t>Источник финансирования</t>
  </si>
  <si>
    <t>федеральный бюджет</t>
  </si>
  <si>
    <t>Ресурсное обеспечение и прогнозная (справочная) оценка расходов средств на реализацию целей муниципальной программы «Развитие образования в Княжпогостском районе»</t>
  </si>
  <si>
    <t>Расходы (рублей)</t>
  </si>
  <si>
    <t>Всего</t>
  </si>
  <si>
    <t>республиканский бюджет</t>
  </si>
  <si>
    <t>муниципальный бюджет</t>
  </si>
  <si>
    <t>всего</t>
  </si>
  <si>
    <t>1.1.2. Реализация муниципальными дошкольными и общеобразовательными организациями в Республике Коми образовательных программ</t>
  </si>
  <si>
    <t>Задача 1.1 "Обеспечение государственных гарантий доступности дошкольного образования"</t>
  </si>
  <si>
    <t>Подпрограмма 2</t>
  </si>
  <si>
    <t>Развитие системы общего образования в Княжпогостском районе</t>
  </si>
  <si>
    <t>Задача 1.1 "Обеспечение государственных гарантий доступности общего образования"</t>
  </si>
  <si>
    <t>1.1.3. 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</si>
  <si>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1.1.5.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</si>
  <si>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1.2.1. Предоставление доступа к сети Интернет</t>
  </si>
  <si>
    <t>1.2.2. Укрепление материально-технической базы в общеобразовательных организациях</t>
  </si>
  <si>
    <t>Подпрограмма 3</t>
  </si>
  <si>
    <t>Дети и молодежь Княжпогостского района</t>
  </si>
  <si>
    <t>Подпрограмма 4</t>
  </si>
  <si>
    <t>Организация отдыха и оздоровления детей в Княжпогостском районе</t>
  </si>
  <si>
    <t>Задача 1.1 "Организация отдыха и оздоровления детей Княжпогостского района"</t>
  </si>
  <si>
    <t>Задача 1.1 «Содействие молодым людям в проявлении своей активности в общественной жизни и освоении навыков самоорганизации, воспитание у молодежи чувства патриотизма и гражданской ответственности»</t>
  </si>
  <si>
    <t>Задача 1.4 «Поддержка молодых семей»</t>
  </si>
  <si>
    <t>1.4.1. Предоставление социальных выплат молодым семьям на приобретение жилого помещения или создание объекта индивидуального жилищного строительства</t>
  </si>
  <si>
    <t>Задача 1.5 «Повышение качества дополнительного образования»</t>
  </si>
  <si>
    <t>1.5.1. Выполнение планового объёма оказываемых услуг, установленного муниципальным заданием</t>
  </si>
  <si>
    <t>Подпрограмма 5</t>
  </si>
  <si>
    <t>Допризывная подготовка граждан Российской Федерации в Княжпогостском районе к военной службе</t>
  </si>
  <si>
    <t>Задача 1.1 «Получение гражданами Российской Федерации начальных знаний в области обороны и подготовка по основам военной службы в образовательных организациях Княжпогостского района»</t>
  </si>
  <si>
    <t>1.1.3. Организация оздоровления и отдыха детей на базе выездных оздоровительных лагерей</t>
  </si>
  <si>
    <t>1.1.1. Военно-патриотическое воспитание молодёжи допризывного возраста</t>
  </si>
  <si>
    <t>Подпрограмма 6</t>
  </si>
  <si>
    <t>Обеспечение условий для реализации муниципальной программы «Развитие образования в Княжпогостском районе</t>
  </si>
  <si>
    <t>Задача 1.1 «Обеспечение управления реализацией мероприятий Программы на муниципальном уровне»</t>
  </si>
  <si>
    <t>1.1.1. Обеспечение управления реализацией мероприятий Программы на муниципальном уровне</t>
  </si>
  <si>
    <t>1.1.1. Выполнение планового объема оказываемых услуг, установленного муниципальным заданием</t>
  </si>
  <si>
    <t>1.1.1. Проведение районных мероприятий</t>
  </si>
  <si>
    <t>1.1.1. Обеспечение деятельности лагерей с дневным пребыванием</t>
  </si>
  <si>
    <t>2.1</t>
  </si>
  <si>
    <t>1.1.2. Мероприятия по проведению оздоровительной кампании детей</t>
  </si>
  <si>
    <t>1.1.2.1. Осуществление процесса оздоровления и отдыха детей</t>
  </si>
  <si>
    <t>Таблица 3</t>
  </si>
  <si>
    <t>Ответственные исполнители, соисполнители</t>
  </si>
  <si>
    <t>1.5.2. Мероприятия, связанные с повышением оплаты труда отдельных категорий работников в сфере образования</t>
  </si>
  <si>
    <t>1.2.1. Мероприятия по благоустройству территорий образовательных учреждений в рамках выполнения расходных обязательств, отнесенных к полномочиям соответствующих органов местного самоуправления по результатам оценки эффективности деятельности органов местного самоуправления</t>
  </si>
  <si>
    <t>1.2.3. Проведение текущих ремонтов в дошкольных образовательных организациях</t>
  </si>
  <si>
    <t>1.2.6. Укрепление материально-технической базы в дошкольных образовательных организациях</t>
  </si>
  <si>
    <t>1.2.7. Укрепление материально-технической базы и создание безопасных условий в организациях в сфере образования в Республике Коми</t>
  </si>
  <si>
    <t>1.2.8. Предоставление доступа к сети Интернет в дошкольных образовательных организациях</t>
  </si>
  <si>
    <t>1.2.3. Укрепление материально-технической базы и создание безопасных условий в организациях в сфере образования в рамках выполнения расходных обязательств, отнесенных к полномочиям соответствующих органов местного самоуправления по результатам оценки эффективности деятельности органов местного самоуправления, а также на развитие народных инициатив</t>
  </si>
  <si>
    <t>1.2.5. Укрепление материально-технической базы и создание безопасных условий в организациях в сфере образования в Республике Коми</t>
  </si>
  <si>
    <t>1.2.8. Проведение текущих ремонтов в общеобразовательных организациях</t>
  </si>
  <si>
    <t>1.2.9. Развитие системы оценки качества образования (проведение районных олимпиад, проведение ГИА и ЕГЭ)</t>
  </si>
  <si>
    <t>1.2.11. Реализация народных проектов в сфере образования, прошедших отбор в рамках проекта «Народный бюджет»</t>
  </si>
  <si>
    <t>1.2.11.1. Укрепление материально-технической базы организаций в сфере образования в Республике Коми</t>
  </si>
  <si>
    <t>1.2.11.2. Осуществление деятельности организациями в сфере образования</t>
  </si>
  <si>
    <t>1.2.14. Проведение ликвидационных мероприятий</t>
  </si>
  <si>
    <t>Задача 1.2 "Создание условий для повышения качества реализации образовательных программ дошкольного образования"</t>
  </si>
  <si>
    <t>Задача 1.2 "Создание условий для повышения качества реализации образовательных программ общего образования"</t>
  </si>
  <si>
    <t>Задача 1.3 "Создание условий для повышения эффективности системы общего образования"</t>
  </si>
  <si>
    <t>1.1.3. Мероприятия, связанные с повышением оплаты труда отдельных категорий работников в сфере образования</t>
  </si>
  <si>
    <t>1.1.4. Оплата муниципальными учреждениями расходов по коммунальным услугам</t>
  </si>
  <si>
    <t>1.5.3. Оплата муниципальными учреждениями расходов по коммунальным услугам</t>
  </si>
  <si>
    <t>1.5.9. Проведение текущих ремонтов в рамках выполнения расходных обязательств на развитие народных инициатив</t>
  </si>
  <si>
    <t>1.5.10. Реализация народных проектов в сфере образования, прошедших отбор в рамках проекта "Народный бюджет"</t>
  </si>
  <si>
    <t>1.5.11. Реализация мероприятий, направленных на исполнение наказов избирателей, рекомендуемых к выполнению в 2022 году (проведение текущих ремонтов)</t>
  </si>
  <si>
    <t>1.3.3. Проведение районных мероприятий (Президентские спортивные игры)</t>
  </si>
  <si>
    <t>1.1.4. Ежемесячное денежное вознаграждение советникам директоров по воспитанию и взаимодействию с детскими общественными объединениями общеобразовательных организаций и профессиональных образовательных организаций</t>
  </si>
  <si>
    <t>1.1.5. Мероприятия, связанные с повышением оплаты труда отдельных категорий работников в сфере образования</t>
  </si>
  <si>
    <t>1.1.6. Оплата муниципальными учреждениями расходов по коммунальным услугам</t>
  </si>
  <si>
    <t>1.1.7.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</si>
  <si>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1.1.8.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</si>
  <si>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 xml:space="preserve">1.1.9. Организация бесплатного горячего питания обучающихся, получающих начальное общее образование в муниципальных образовательных организациях </t>
  </si>
  <si>
    <t>11.1</t>
  </si>
  <si>
    <t>15.1</t>
  </si>
  <si>
    <t>15.2</t>
  </si>
  <si>
    <t>1.1.2. Проведение молодежных форумов</t>
  </si>
  <si>
    <t>администрация МО "Княжпогостский", управление культуры АМО "Княжпогостский", управление образования АМР "Княжпогостский"</t>
  </si>
  <si>
    <t>управление культуры АМО "Княжпогостский"</t>
  </si>
  <si>
    <t>управление муниципального хозяйства АМО "Княжпогостский"</t>
  </si>
  <si>
    <t>1.1.3. Развитие сети молодежных центров (простанств)</t>
  </si>
  <si>
    <t>управление образования АМО "Княжпогостский"</t>
  </si>
  <si>
    <t>управление образования АМо "Княжпогостский"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</si>
</sst>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>
      <alignment vertical="top" wrapText="1"/>
    </xf>
    <xf numFmtId="0" fontId="2" fillId="0" borderId="5" xfId="0" applyFont="1" applyFill="1" applyBorder="1"/>
    <xf numFmtId="2" fontId="2" fillId="0" borderId="0" xfId="0" applyNumberFormat="1" applyFont="1" applyFill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/>
    <xf numFmtId="4" fontId="3" fillId="0" borderId="0" xfId="0" applyNumberFormat="1" applyFont="1" applyFill="1"/>
    <xf numFmtId="0" fontId="6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/>
    <xf numFmtId="4" fontId="1" fillId="0" borderId="0" xfId="0" applyNumberFormat="1" applyFont="1" applyFill="1"/>
    <xf numFmtId="4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4" fontId="2" fillId="0" borderId="0" xfId="0" applyNumberFormat="1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2" fillId="0" borderId="5" xfId="0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7"/>
  <sheetViews>
    <sheetView tabSelected="1" zoomScaleNormal="100" workbookViewId="0">
      <selection activeCell="B7" sqref="B7:B10"/>
    </sheetView>
  </sheetViews>
  <sheetFormatPr defaultColWidth="8.88671875" defaultRowHeight="13.8" x14ac:dyDescent="0.25"/>
  <cols>
    <col min="1" max="1" width="15.6640625" style="1" customWidth="1"/>
    <col min="2" max="2" width="32.6640625" style="1" customWidth="1"/>
    <col min="3" max="3" width="20.6640625" style="1" customWidth="1"/>
    <col min="4" max="4" width="26.6640625" style="1" customWidth="1"/>
    <col min="5" max="5" width="16" style="1" customWidth="1"/>
    <col min="6" max="6" width="15.6640625" style="1" customWidth="1"/>
    <col min="7" max="7" width="16.109375" style="1" customWidth="1"/>
    <col min="8" max="8" width="15.88671875" style="27" customWidth="1"/>
    <col min="9" max="9" width="16.44140625" style="1" customWidth="1"/>
    <col min="10" max="10" width="13.44140625" style="1" bestFit="1" customWidth="1"/>
    <col min="11" max="12" width="14.44140625" style="1" bestFit="1" customWidth="1"/>
    <col min="13" max="16384" width="8.88671875" style="1"/>
  </cols>
  <sheetData>
    <row r="1" spans="1:12" x14ac:dyDescent="0.25">
      <c r="E1" s="25"/>
      <c r="F1" s="2"/>
      <c r="G1" s="2"/>
      <c r="H1" s="2"/>
      <c r="I1" s="31" t="s">
        <v>48</v>
      </c>
    </row>
    <row r="2" spans="1:12" x14ac:dyDescent="0.25">
      <c r="E2" s="25"/>
      <c r="F2" s="25"/>
      <c r="G2" s="55"/>
      <c r="H2" s="55"/>
      <c r="I2" s="55"/>
    </row>
    <row r="3" spans="1:12" ht="31.2" customHeight="1" x14ac:dyDescent="0.3">
      <c r="A3" s="56" t="s">
        <v>8</v>
      </c>
      <c r="B3" s="56"/>
      <c r="C3" s="56"/>
      <c r="D3" s="56"/>
      <c r="E3" s="56"/>
      <c r="F3" s="56"/>
      <c r="G3" s="56"/>
      <c r="H3" s="56"/>
      <c r="I3" s="56"/>
    </row>
    <row r="4" spans="1:12" x14ac:dyDescent="0.25">
      <c r="A4" s="3"/>
      <c r="B4" s="3"/>
      <c r="C4" s="3"/>
      <c r="D4" s="3"/>
      <c r="E4" s="3"/>
      <c r="F4" s="3"/>
      <c r="G4" s="3"/>
      <c r="H4" s="28"/>
      <c r="I4" s="28"/>
    </row>
    <row r="5" spans="1:12" s="4" customFormat="1" ht="19.95" customHeight="1" x14ac:dyDescent="0.3">
      <c r="A5" s="61" t="s">
        <v>0</v>
      </c>
      <c r="B5" s="61" t="s">
        <v>1</v>
      </c>
      <c r="C5" s="61" t="s">
        <v>49</v>
      </c>
      <c r="D5" s="61" t="s">
        <v>6</v>
      </c>
      <c r="E5" s="57" t="s">
        <v>9</v>
      </c>
      <c r="F5" s="57"/>
      <c r="G5" s="57"/>
      <c r="H5" s="57"/>
      <c r="I5" s="57"/>
    </row>
    <row r="6" spans="1:12" s="4" customFormat="1" ht="19.95" customHeight="1" x14ac:dyDescent="0.3">
      <c r="A6" s="62"/>
      <c r="B6" s="62"/>
      <c r="C6" s="62"/>
      <c r="D6" s="62"/>
      <c r="E6" s="5">
        <v>2021</v>
      </c>
      <c r="F6" s="5">
        <v>2022</v>
      </c>
      <c r="G6" s="5">
        <v>2023</v>
      </c>
      <c r="H6" s="5">
        <v>2024</v>
      </c>
      <c r="I6" s="5">
        <v>2025</v>
      </c>
    </row>
    <row r="7" spans="1:12" s="8" customFormat="1" ht="13.95" customHeight="1" x14ac:dyDescent="0.25">
      <c r="A7" s="58" t="s">
        <v>2</v>
      </c>
      <c r="B7" s="58" t="s">
        <v>3</v>
      </c>
      <c r="C7" s="32" t="s">
        <v>88</v>
      </c>
      <c r="D7" s="6" t="s">
        <v>10</v>
      </c>
      <c r="E7" s="7">
        <f>SUM(E8:E10)</f>
        <v>439421159.1400001</v>
      </c>
      <c r="F7" s="7">
        <f t="shared" ref="F7:H7" si="0">SUM(F8:F10)</f>
        <v>448895720.97999996</v>
      </c>
      <c r="G7" s="7">
        <f t="shared" si="0"/>
        <v>476831149.13</v>
      </c>
      <c r="H7" s="7">
        <f t="shared" si="0"/>
        <v>517450829.15999997</v>
      </c>
      <c r="I7" s="7">
        <f t="shared" ref="I7" si="1">SUM(I8:I10)</f>
        <v>537302437.68000007</v>
      </c>
      <c r="L7" s="9"/>
    </row>
    <row r="8" spans="1:12" s="8" customFormat="1" ht="15.6" x14ac:dyDescent="0.25">
      <c r="A8" s="59"/>
      <c r="B8" s="59"/>
      <c r="C8" s="33"/>
      <c r="D8" s="10" t="s">
        <v>7</v>
      </c>
      <c r="E8" s="11">
        <f t="shared" ref="E8:I10" si="2">E12+E66+E153+E200+E221+E230</f>
        <v>21667165.890000001</v>
      </c>
      <c r="F8" s="11">
        <f t="shared" si="2"/>
        <v>22403059.990000002</v>
      </c>
      <c r="G8" s="11">
        <f t="shared" si="2"/>
        <v>23333128.98</v>
      </c>
      <c r="H8" s="11">
        <f t="shared" si="2"/>
        <v>36180917.530000001</v>
      </c>
      <c r="I8" s="11">
        <f t="shared" si="2"/>
        <v>38952634.280000001</v>
      </c>
    </row>
    <row r="9" spans="1:12" s="8" customFormat="1" ht="15.6" x14ac:dyDescent="0.25">
      <c r="A9" s="59"/>
      <c r="B9" s="59"/>
      <c r="C9" s="33"/>
      <c r="D9" s="10" t="s">
        <v>11</v>
      </c>
      <c r="E9" s="11">
        <f t="shared" si="2"/>
        <v>285457882.73000008</v>
      </c>
      <c r="F9" s="11">
        <f t="shared" si="2"/>
        <v>308898572.27999997</v>
      </c>
      <c r="G9" s="11">
        <f t="shared" si="2"/>
        <v>346612911.84999996</v>
      </c>
      <c r="H9" s="11">
        <f t="shared" si="2"/>
        <v>371111068.71000004</v>
      </c>
      <c r="I9" s="11">
        <f t="shared" si="2"/>
        <v>358266419.06</v>
      </c>
    </row>
    <row r="10" spans="1:12" s="8" customFormat="1" ht="15.6" x14ac:dyDescent="0.25">
      <c r="A10" s="60"/>
      <c r="B10" s="60"/>
      <c r="C10" s="34"/>
      <c r="D10" s="10" t="s">
        <v>12</v>
      </c>
      <c r="E10" s="11">
        <f t="shared" si="2"/>
        <v>132296110.52000003</v>
      </c>
      <c r="F10" s="11">
        <f t="shared" si="2"/>
        <v>117594088.70999998</v>
      </c>
      <c r="G10" s="11">
        <f t="shared" si="2"/>
        <v>106885108.3</v>
      </c>
      <c r="H10" s="11">
        <f t="shared" si="2"/>
        <v>110158842.91999999</v>
      </c>
      <c r="I10" s="11">
        <f t="shared" si="2"/>
        <v>140083384.33999997</v>
      </c>
    </row>
    <row r="11" spans="1:12" s="14" customFormat="1" ht="13.95" customHeight="1" x14ac:dyDescent="0.25">
      <c r="A11" s="52" t="s">
        <v>4</v>
      </c>
      <c r="B11" s="52" t="s">
        <v>5</v>
      </c>
      <c r="C11" s="32" t="s">
        <v>88</v>
      </c>
      <c r="D11" s="12" t="s">
        <v>10</v>
      </c>
      <c r="E11" s="13">
        <f>SUM(E12:E14)</f>
        <v>143721935.93000001</v>
      </c>
      <c r="F11" s="13">
        <f t="shared" ref="F11:H11" si="3">SUM(F12:F14)</f>
        <v>148618264.31999999</v>
      </c>
      <c r="G11" s="13">
        <f t="shared" si="3"/>
        <v>152854555.5</v>
      </c>
      <c r="H11" s="13">
        <f t="shared" si="3"/>
        <v>157974617.05000001</v>
      </c>
      <c r="I11" s="13">
        <f t="shared" ref="I11" si="4">SUM(I12:I14)</f>
        <v>156819611.13</v>
      </c>
      <c r="L11" s="15"/>
    </row>
    <row r="12" spans="1:12" s="14" customFormat="1" x14ac:dyDescent="0.25">
      <c r="A12" s="53"/>
      <c r="B12" s="53"/>
      <c r="C12" s="33"/>
      <c r="D12" s="26" t="s">
        <v>7</v>
      </c>
      <c r="E12" s="16">
        <f>E17+E21+E25+E33+E42+E46+E50+E54+E58+E38+E29</f>
        <v>0</v>
      </c>
      <c r="F12" s="16">
        <f t="shared" ref="F12:I12" si="5">F17+F21+F25+F33+F42+F46+F50+F54+F58+F38+F29</f>
        <v>0</v>
      </c>
      <c r="G12" s="16">
        <f t="shared" si="5"/>
        <v>0</v>
      </c>
      <c r="H12" s="16">
        <f t="shared" si="5"/>
        <v>0</v>
      </c>
      <c r="I12" s="16">
        <f t="shared" si="5"/>
        <v>0</v>
      </c>
    </row>
    <row r="13" spans="1:12" s="14" customFormat="1" x14ac:dyDescent="0.25">
      <c r="A13" s="53"/>
      <c r="B13" s="53"/>
      <c r="C13" s="33"/>
      <c r="D13" s="26" t="s">
        <v>11</v>
      </c>
      <c r="E13" s="16">
        <f>E18+E22+E26+E34+E43+E47+E51+E55+E59+E39+E30</f>
        <v>95626018.939999998</v>
      </c>
      <c r="F13" s="16">
        <f t="shared" ref="F13:I13" si="6">F18+F22+F26+F34+F43+F47+F51+F55+F59+F39+F30</f>
        <v>112957924.33</v>
      </c>
      <c r="G13" s="16">
        <f t="shared" si="6"/>
        <v>119887063</v>
      </c>
      <c r="H13" s="16">
        <f t="shared" si="6"/>
        <v>125039087.5</v>
      </c>
      <c r="I13" s="16">
        <f t="shared" si="6"/>
        <v>114471488.27</v>
      </c>
    </row>
    <row r="14" spans="1:12" s="14" customFormat="1" x14ac:dyDescent="0.25">
      <c r="A14" s="54"/>
      <c r="B14" s="54"/>
      <c r="C14" s="34"/>
      <c r="D14" s="26" t="s">
        <v>12</v>
      </c>
      <c r="E14" s="16">
        <f>E19+E23+E27+E35+E44+E48+E52+E56+E60+E40+E31</f>
        <v>48095916.989999995</v>
      </c>
      <c r="F14" s="16">
        <f t="shared" ref="F14:I14" si="7">F19+F23+F27+F35+F44+F48+F52+F56+F60+F40+F31</f>
        <v>35660339.989999995</v>
      </c>
      <c r="G14" s="16">
        <f t="shared" si="7"/>
        <v>32967492.499999996</v>
      </c>
      <c r="H14" s="16">
        <f t="shared" si="7"/>
        <v>32935529.550000001</v>
      </c>
      <c r="I14" s="16">
        <f t="shared" si="7"/>
        <v>42348122.859999999</v>
      </c>
      <c r="L14" s="15"/>
    </row>
    <row r="15" spans="1:12" s="14" customFormat="1" x14ac:dyDescent="0.25">
      <c r="A15" s="42" t="s">
        <v>15</v>
      </c>
      <c r="B15" s="43"/>
      <c r="C15" s="43"/>
      <c r="D15" s="43"/>
      <c r="E15" s="43"/>
      <c r="F15" s="43"/>
      <c r="G15" s="43"/>
      <c r="H15" s="43"/>
      <c r="I15" s="44"/>
    </row>
    <row r="16" spans="1:12" x14ac:dyDescent="0.25">
      <c r="A16" s="35">
        <v>1</v>
      </c>
      <c r="B16" s="38" t="s">
        <v>42</v>
      </c>
      <c r="C16" s="32" t="s">
        <v>88</v>
      </c>
      <c r="D16" s="17" t="s">
        <v>13</v>
      </c>
      <c r="E16" s="18">
        <f>SUM(E17:E19)</f>
        <v>47328029.269999996</v>
      </c>
      <c r="F16" s="18">
        <f t="shared" ref="F16:I16" si="8">SUM(F17:F19)</f>
        <v>34731520.43</v>
      </c>
      <c r="G16" s="18">
        <f t="shared" si="8"/>
        <v>27239038.169999998</v>
      </c>
      <c r="H16" s="18">
        <f t="shared" si="8"/>
        <v>26297453.09</v>
      </c>
      <c r="I16" s="18">
        <f t="shared" si="8"/>
        <v>32249835.300000001</v>
      </c>
    </row>
    <row r="17" spans="1:9" x14ac:dyDescent="0.25">
      <c r="A17" s="36"/>
      <c r="B17" s="39"/>
      <c r="C17" s="33"/>
      <c r="D17" s="24" t="s">
        <v>7</v>
      </c>
      <c r="E17" s="19"/>
      <c r="F17" s="19"/>
      <c r="G17" s="19"/>
      <c r="H17" s="19"/>
      <c r="I17" s="19"/>
    </row>
    <row r="18" spans="1:9" x14ac:dyDescent="0.25">
      <c r="A18" s="36"/>
      <c r="B18" s="39"/>
      <c r="C18" s="33"/>
      <c r="D18" s="24" t="s">
        <v>11</v>
      </c>
      <c r="E18" s="19"/>
      <c r="F18" s="19"/>
      <c r="G18" s="19"/>
      <c r="H18" s="19"/>
      <c r="I18" s="19"/>
    </row>
    <row r="19" spans="1:9" x14ac:dyDescent="0.25">
      <c r="A19" s="36"/>
      <c r="B19" s="39"/>
      <c r="C19" s="34"/>
      <c r="D19" s="23" t="s">
        <v>12</v>
      </c>
      <c r="E19" s="19">
        <f>49041030-260000-466683-467650-10454.54-53456.56-454756.63</f>
        <v>47328029.269999996</v>
      </c>
      <c r="F19" s="19">
        <f>37310000+15000-44000-1520000-194955.56+15584.61+658231.28-1508339.9</f>
        <v>34731520.43</v>
      </c>
      <c r="G19" s="20">
        <f>32758814.28-66144.44-109095.64-6675882.68+1331346.65</f>
        <v>27239038.169999998</v>
      </c>
      <c r="H19" s="20">
        <f>19597309+299000-4000+44359.23+28496.13+126792.64+1673199.02-813700-636300+4749781.79+144548.99-237373.4+73563+1251776.69</f>
        <v>26297453.09</v>
      </c>
      <c r="I19" s="20">
        <f>18124147.14+956086.09+2162989.39+167450-24479.8+417942+260400+1010352+1912172.52-48000+17100+3365685.66+3927990.3</f>
        <v>32249835.300000001</v>
      </c>
    </row>
    <row r="20" spans="1:9" ht="16.95" customHeight="1" x14ac:dyDescent="0.25">
      <c r="A20" s="35">
        <v>2</v>
      </c>
      <c r="B20" s="38" t="s">
        <v>14</v>
      </c>
      <c r="C20" s="32" t="s">
        <v>88</v>
      </c>
      <c r="D20" s="17" t="s">
        <v>13</v>
      </c>
      <c r="E20" s="18">
        <f>SUM(E21:E23)</f>
        <v>85520509.269999996</v>
      </c>
      <c r="F20" s="18">
        <f t="shared" ref="F20" si="9">SUM(F21:F23)</f>
        <v>107793992.42999999</v>
      </c>
      <c r="G20" s="18">
        <f t="shared" ref="G20" si="10">SUM(G21:G23)</f>
        <v>104301200</v>
      </c>
      <c r="H20" s="18">
        <f t="shared" ref="H20" si="11">SUM(H21:H23)</f>
        <v>105138931.08</v>
      </c>
      <c r="I20" s="18">
        <f t="shared" ref="I20" si="12">SUM(I21:I23)</f>
        <v>98335817.769999996</v>
      </c>
    </row>
    <row r="21" spans="1:9" ht="16.95" customHeight="1" x14ac:dyDescent="0.25">
      <c r="A21" s="36"/>
      <c r="B21" s="39"/>
      <c r="C21" s="33"/>
      <c r="D21" s="24" t="s">
        <v>7</v>
      </c>
      <c r="E21" s="19"/>
      <c r="F21" s="19"/>
      <c r="G21" s="19"/>
      <c r="H21" s="19"/>
      <c r="I21" s="19"/>
    </row>
    <row r="22" spans="1:9" ht="16.95" customHeight="1" x14ac:dyDescent="0.25">
      <c r="A22" s="36"/>
      <c r="B22" s="39"/>
      <c r="C22" s="33"/>
      <c r="D22" s="24" t="s">
        <v>11</v>
      </c>
      <c r="E22" s="19">
        <f>95268752-3255548-6492694.73</f>
        <v>85520509.269999996</v>
      </c>
      <c r="F22" s="19">
        <f>93805806+6990894.08+6000000+997292.35</f>
        <v>107793992.42999999</v>
      </c>
      <c r="G22" s="19">
        <f>111121200-6820000</f>
        <v>104301200</v>
      </c>
      <c r="H22" s="19">
        <f>106546500+1000000+1388500-6187104+1577832+813203.08</f>
        <v>105138931.08</v>
      </c>
      <c r="I22" s="19">
        <f>109873200+3250000-11687600+58864.14-1600000-1558646.37</f>
        <v>98335817.769999996</v>
      </c>
    </row>
    <row r="23" spans="1:9" ht="16.95" customHeight="1" x14ac:dyDescent="0.25">
      <c r="A23" s="37"/>
      <c r="B23" s="40"/>
      <c r="C23" s="34"/>
      <c r="D23" s="23" t="s">
        <v>12</v>
      </c>
      <c r="E23" s="20"/>
      <c r="F23" s="20"/>
      <c r="G23" s="20"/>
      <c r="H23" s="20"/>
      <c r="I23" s="20"/>
    </row>
    <row r="24" spans="1:9" x14ac:dyDescent="0.25">
      <c r="A24" s="35">
        <v>3</v>
      </c>
      <c r="B24" s="38" t="s">
        <v>67</v>
      </c>
      <c r="C24" s="32" t="s">
        <v>88</v>
      </c>
      <c r="D24" s="17" t="s">
        <v>13</v>
      </c>
      <c r="E24" s="18">
        <f>SUM(E25:E27)</f>
        <v>6829999.9900000002</v>
      </c>
      <c r="F24" s="18">
        <f t="shared" ref="F24" si="13">SUM(F25:F27)</f>
        <v>1435353.53</v>
      </c>
      <c r="G24" s="18">
        <f t="shared" ref="G24" si="14">SUM(G25:G27)</f>
        <v>1578888.88</v>
      </c>
      <c r="H24" s="18">
        <f t="shared" ref="H24" si="15">SUM(H25:H27)</f>
        <v>4788989.8899999997</v>
      </c>
      <c r="I24" s="18">
        <f t="shared" ref="I24" si="16">SUM(I25:I27)</f>
        <v>4026868.68</v>
      </c>
    </row>
    <row r="25" spans="1:9" x14ac:dyDescent="0.25">
      <c r="A25" s="36"/>
      <c r="B25" s="39"/>
      <c r="C25" s="33"/>
      <c r="D25" s="24" t="s">
        <v>7</v>
      </c>
      <c r="E25" s="19"/>
      <c r="F25" s="19"/>
      <c r="G25" s="19"/>
      <c r="H25" s="19"/>
      <c r="I25" s="19"/>
    </row>
    <row r="26" spans="1:9" x14ac:dyDescent="0.25">
      <c r="A26" s="36"/>
      <c r="B26" s="39"/>
      <c r="C26" s="33"/>
      <c r="D26" s="24" t="s">
        <v>11</v>
      </c>
      <c r="E26" s="19">
        <f>1035000+5726700</f>
        <v>6761700</v>
      </c>
      <c r="F26" s="19">
        <v>1421000</v>
      </c>
      <c r="G26" s="19">
        <f>1563100</f>
        <v>1563100</v>
      </c>
      <c r="H26" s="19">
        <f>1563100+3178000</f>
        <v>4741100</v>
      </c>
      <c r="I26" s="19">
        <f>1563100+2423500</f>
        <v>3986600</v>
      </c>
    </row>
    <row r="27" spans="1:9" x14ac:dyDescent="0.25">
      <c r="A27" s="36"/>
      <c r="B27" s="39"/>
      <c r="C27" s="33"/>
      <c r="D27" s="23" t="s">
        <v>12</v>
      </c>
      <c r="E27" s="20">
        <f>10454.54+57845.45</f>
        <v>68299.989999999991</v>
      </c>
      <c r="F27" s="20">
        <v>14353.53</v>
      </c>
      <c r="G27" s="20">
        <f>15788.88</f>
        <v>15788.88</v>
      </c>
      <c r="H27" s="20">
        <f>15788.88+32101.01</f>
        <v>47889.89</v>
      </c>
      <c r="I27" s="20">
        <f>15788.88+24479.8</f>
        <v>40268.68</v>
      </c>
    </row>
    <row r="28" spans="1:9" x14ac:dyDescent="0.25">
      <c r="A28" s="35">
        <v>4</v>
      </c>
      <c r="B28" s="38" t="s">
        <v>68</v>
      </c>
      <c r="C28" s="32" t="s">
        <v>88</v>
      </c>
      <c r="D28" s="17" t="s">
        <v>13</v>
      </c>
      <c r="E28" s="18">
        <f>SUM(E29:E31)</f>
        <v>0</v>
      </c>
      <c r="F28" s="18">
        <f t="shared" ref="F28:I28" si="17">SUM(F29:F31)</f>
        <v>0</v>
      </c>
      <c r="G28" s="18">
        <f t="shared" si="17"/>
        <v>15571090</v>
      </c>
      <c r="H28" s="18">
        <f t="shared" si="17"/>
        <v>18460033.059999999</v>
      </c>
      <c r="I28" s="18">
        <f t="shared" si="17"/>
        <v>18779141</v>
      </c>
    </row>
    <row r="29" spans="1:9" x14ac:dyDescent="0.25">
      <c r="A29" s="36"/>
      <c r="B29" s="39"/>
      <c r="C29" s="33"/>
      <c r="D29" s="24" t="s">
        <v>7</v>
      </c>
      <c r="E29" s="19"/>
      <c r="F29" s="19"/>
      <c r="G29" s="19"/>
      <c r="H29" s="19"/>
      <c r="I29" s="19"/>
    </row>
    <row r="30" spans="1:9" x14ac:dyDescent="0.25">
      <c r="A30" s="36"/>
      <c r="B30" s="39"/>
      <c r="C30" s="33"/>
      <c r="D30" s="24" t="s">
        <v>11</v>
      </c>
      <c r="E30" s="19"/>
      <c r="F30" s="19"/>
      <c r="G30" s="19">
        <f>10899763</f>
        <v>10899763</v>
      </c>
      <c r="H30" s="19">
        <f>14112936.5-1217716.23-56000+15963.28</f>
        <v>12855183.549999999</v>
      </c>
      <c r="I30" s="19">
        <f>10511699-204154-600000-317974.5</f>
        <v>9389570.5</v>
      </c>
    </row>
    <row r="31" spans="1:9" x14ac:dyDescent="0.25">
      <c r="A31" s="37"/>
      <c r="B31" s="40"/>
      <c r="C31" s="34"/>
      <c r="D31" s="23" t="s">
        <v>12</v>
      </c>
      <c r="E31" s="20"/>
      <c r="F31" s="20"/>
      <c r="G31" s="20">
        <f>4671327</f>
        <v>4671327</v>
      </c>
      <c r="H31" s="20">
        <f>6143886.5-521878.39-24000+6841.4</f>
        <v>5604849.5100000007</v>
      </c>
      <c r="I31" s="20">
        <f>10511699-204154-600000-317974.5</f>
        <v>9389570.5</v>
      </c>
    </row>
    <row r="32" spans="1:9" s="21" customFormat="1" ht="24.15" customHeight="1" x14ac:dyDescent="0.25">
      <c r="A32" s="35">
        <v>5</v>
      </c>
      <c r="B32" s="41" t="s">
        <v>20</v>
      </c>
      <c r="C32" s="32" t="s">
        <v>88</v>
      </c>
      <c r="D32" s="17" t="s">
        <v>13</v>
      </c>
      <c r="E32" s="18">
        <f>SUM(E33:E35)</f>
        <v>2303660.7000000002</v>
      </c>
      <c r="F32" s="18">
        <f t="shared" ref="F32" si="18">SUM(F33:F35)</f>
        <v>2149800</v>
      </c>
      <c r="G32" s="18">
        <f t="shared" ref="G32" si="19">SUM(G33:G35)</f>
        <v>1863000</v>
      </c>
      <c r="H32" s="18">
        <f t="shared" ref="H32" si="20">SUM(H33:H35)</f>
        <v>1872200</v>
      </c>
      <c r="I32" s="18">
        <f t="shared" ref="I32" si="21">SUM(I33:I35)</f>
        <v>1759500</v>
      </c>
    </row>
    <row r="33" spans="1:9" s="21" customFormat="1" ht="24.15" customHeight="1" x14ac:dyDescent="0.25">
      <c r="A33" s="36"/>
      <c r="B33" s="41"/>
      <c r="C33" s="33"/>
      <c r="D33" s="24" t="s">
        <v>7</v>
      </c>
      <c r="E33" s="19"/>
      <c r="F33" s="19"/>
      <c r="G33" s="19"/>
      <c r="H33" s="19"/>
      <c r="I33" s="19"/>
    </row>
    <row r="34" spans="1:9" s="21" customFormat="1" ht="24.15" customHeight="1" x14ac:dyDescent="0.25">
      <c r="A34" s="36"/>
      <c r="B34" s="41"/>
      <c r="C34" s="33"/>
      <c r="D34" s="24" t="s">
        <v>11</v>
      </c>
      <c r="E34" s="19">
        <f>2531200-1200-25000-200000-1339.3</f>
        <v>2303660.7000000002</v>
      </c>
      <c r="F34" s="19">
        <f>2533700-383900</f>
        <v>2149800</v>
      </c>
      <c r="G34" s="19">
        <f>2167000-304000</f>
        <v>1863000</v>
      </c>
      <c r="H34" s="19">
        <f>2495200-623000</f>
        <v>1872200</v>
      </c>
      <c r="I34" s="19">
        <f>2599000-839500</f>
        <v>1759500</v>
      </c>
    </row>
    <row r="35" spans="1:9" s="21" customFormat="1" ht="24.15" customHeight="1" x14ac:dyDescent="0.25">
      <c r="A35" s="37"/>
      <c r="B35" s="41"/>
      <c r="C35" s="34"/>
      <c r="D35" s="23" t="s">
        <v>12</v>
      </c>
      <c r="E35" s="20"/>
      <c r="F35" s="20"/>
      <c r="G35" s="20"/>
      <c r="H35" s="20"/>
      <c r="I35" s="20"/>
    </row>
    <row r="36" spans="1:9" s="14" customFormat="1" x14ac:dyDescent="0.25">
      <c r="A36" s="42" t="s">
        <v>64</v>
      </c>
      <c r="B36" s="43"/>
      <c r="C36" s="43"/>
      <c r="D36" s="43"/>
      <c r="E36" s="43"/>
      <c r="F36" s="43"/>
      <c r="G36" s="43"/>
      <c r="H36" s="43"/>
      <c r="I36" s="44"/>
    </row>
    <row r="37" spans="1:9" s="21" customFormat="1" ht="30" customHeight="1" x14ac:dyDescent="0.25">
      <c r="A37" s="35">
        <v>6</v>
      </c>
      <c r="B37" s="38" t="s">
        <v>51</v>
      </c>
      <c r="C37" s="32" t="s">
        <v>88</v>
      </c>
      <c r="D37" s="17" t="s">
        <v>13</v>
      </c>
      <c r="E37" s="18">
        <f>SUM(E38:E40)</f>
        <v>389374.62</v>
      </c>
      <c r="F37" s="18">
        <f t="shared" ref="F37:I37" si="22">SUM(F38:F40)</f>
        <v>499205.62</v>
      </c>
      <c r="G37" s="18">
        <f t="shared" si="22"/>
        <v>0</v>
      </c>
      <c r="H37" s="18">
        <f t="shared" si="22"/>
        <v>0</v>
      </c>
      <c r="I37" s="18">
        <f t="shared" si="22"/>
        <v>0</v>
      </c>
    </row>
    <row r="38" spans="1:9" s="21" customFormat="1" ht="30" customHeight="1" x14ac:dyDescent="0.25">
      <c r="A38" s="36"/>
      <c r="B38" s="39"/>
      <c r="C38" s="33"/>
      <c r="D38" s="24" t="s">
        <v>7</v>
      </c>
      <c r="E38" s="19"/>
      <c r="F38" s="19"/>
      <c r="G38" s="19"/>
      <c r="H38" s="19"/>
      <c r="I38" s="19"/>
    </row>
    <row r="39" spans="1:9" s="21" customFormat="1" ht="30" customHeight="1" x14ac:dyDescent="0.25">
      <c r="A39" s="36"/>
      <c r="B39" s="39"/>
      <c r="C39" s="33"/>
      <c r="D39" s="24" t="s">
        <v>11</v>
      </c>
      <c r="E39" s="19"/>
      <c r="F39" s="19"/>
      <c r="G39" s="19"/>
      <c r="H39" s="19"/>
      <c r="I39" s="19"/>
    </row>
    <row r="40" spans="1:9" s="21" customFormat="1" ht="30" customHeight="1" x14ac:dyDescent="0.25">
      <c r="A40" s="37"/>
      <c r="B40" s="40"/>
      <c r="C40" s="34"/>
      <c r="D40" s="23" t="s">
        <v>12</v>
      </c>
      <c r="E40" s="20">
        <v>389374.62</v>
      </c>
      <c r="F40" s="20">
        <f>389374.62+109831</f>
        <v>499205.62</v>
      </c>
      <c r="G40" s="20"/>
      <c r="H40" s="20"/>
      <c r="I40" s="20"/>
    </row>
    <row r="41" spans="1:9" s="21" customFormat="1" ht="13.2" x14ac:dyDescent="0.25">
      <c r="A41" s="35">
        <v>7</v>
      </c>
      <c r="B41" s="38" t="s">
        <v>52</v>
      </c>
      <c r="C41" s="32" t="s">
        <v>88</v>
      </c>
      <c r="D41" s="17" t="s">
        <v>13</v>
      </c>
      <c r="E41" s="18">
        <f>SUM(E42:E44)</f>
        <v>99841</v>
      </c>
      <c r="F41" s="18">
        <f t="shared" ref="F41:I41" si="23">SUM(F42:F44)</f>
        <v>0</v>
      </c>
      <c r="G41" s="18">
        <f t="shared" si="23"/>
        <v>0</v>
      </c>
      <c r="H41" s="18">
        <f t="shared" si="23"/>
        <v>700000</v>
      </c>
      <c r="I41" s="18">
        <f t="shared" si="23"/>
        <v>0</v>
      </c>
    </row>
    <row r="42" spans="1:9" s="21" customFormat="1" ht="13.2" x14ac:dyDescent="0.25">
      <c r="A42" s="36"/>
      <c r="B42" s="39"/>
      <c r="C42" s="33"/>
      <c r="D42" s="24" t="s">
        <v>7</v>
      </c>
      <c r="E42" s="19"/>
      <c r="F42" s="19"/>
      <c r="G42" s="19"/>
      <c r="H42" s="19"/>
      <c r="I42" s="19"/>
    </row>
    <row r="43" spans="1:9" s="21" customFormat="1" ht="13.2" x14ac:dyDescent="0.25">
      <c r="A43" s="36"/>
      <c r="B43" s="39"/>
      <c r="C43" s="33"/>
      <c r="D43" s="24" t="s">
        <v>11</v>
      </c>
      <c r="E43" s="19"/>
      <c r="F43" s="19"/>
      <c r="G43" s="19"/>
      <c r="H43" s="19"/>
      <c r="I43" s="19"/>
    </row>
    <row r="44" spans="1:9" s="21" customFormat="1" ht="13.2" x14ac:dyDescent="0.25">
      <c r="A44" s="37"/>
      <c r="B44" s="40"/>
      <c r="C44" s="34"/>
      <c r="D44" s="23" t="s">
        <v>12</v>
      </c>
      <c r="E44" s="20">
        <f>800000-800000+99841+43925.66-43925.66</f>
        <v>99841</v>
      </c>
      <c r="F44" s="20"/>
      <c r="G44" s="20"/>
      <c r="H44" s="20">
        <f>450000+250000</f>
        <v>700000</v>
      </c>
      <c r="I44" s="20"/>
    </row>
    <row r="45" spans="1:9" s="21" customFormat="1" ht="13.2" x14ac:dyDescent="0.25">
      <c r="A45" s="45">
        <v>8</v>
      </c>
      <c r="B45" s="38" t="s">
        <v>53</v>
      </c>
      <c r="C45" s="32" t="s">
        <v>88</v>
      </c>
      <c r="D45" s="17" t="s">
        <v>13</v>
      </c>
      <c r="E45" s="18">
        <f>SUM(E46:E48)</f>
        <v>0</v>
      </c>
      <c r="F45" s="18">
        <f t="shared" ref="F45:I45" si="24">SUM(F46:F48)</f>
        <v>143445.75</v>
      </c>
      <c r="G45" s="18">
        <f t="shared" si="24"/>
        <v>0</v>
      </c>
      <c r="H45" s="18">
        <f t="shared" si="24"/>
        <v>237373.4</v>
      </c>
      <c r="I45" s="18">
        <f t="shared" si="24"/>
        <v>0</v>
      </c>
    </row>
    <row r="46" spans="1:9" s="21" customFormat="1" ht="13.2" x14ac:dyDescent="0.25">
      <c r="A46" s="45"/>
      <c r="B46" s="39"/>
      <c r="C46" s="33"/>
      <c r="D46" s="24" t="s">
        <v>7</v>
      </c>
      <c r="E46" s="19"/>
      <c r="F46" s="19"/>
      <c r="G46" s="19"/>
      <c r="H46" s="19"/>
      <c r="I46" s="19"/>
    </row>
    <row r="47" spans="1:9" s="21" customFormat="1" ht="13.2" x14ac:dyDescent="0.25">
      <c r="A47" s="45"/>
      <c r="B47" s="39"/>
      <c r="C47" s="33"/>
      <c r="D47" s="24" t="s">
        <v>11</v>
      </c>
      <c r="E47" s="19"/>
      <c r="F47" s="19"/>
      <c r="G47" s="19"/>
      <c r="H47" s="19"/>
      <c r="I47" s="19"/>
    </row>
    <row r="48" spans="1:9" s="21" customFormat="1" ht="13.2" x14ac:dyDescent="0.25">
      <c r="A48" s="45"/>
      <c r="B48" s="40"/>
      <c r="C48" s="34"/>
      <c r="D48" s="23" t="s">
        <v>12</v>
      </c>
      <c r="E48" s="20"/>
      <c r="F48" s="20">
        <f>143445.75</f>
        <v>143445.75</v>
      </c>
      <c r="G48" s="20"/>
      <c r="H48" s="20">
        <v>237373.4</v>
      </c>
      <c r="I48" s="20"/>
    </row>
    <row r="49" spans="1:9" s="21" customFormat="1" ht="13.2" x14ac:dyDescent="0.25">
      <c r="A49" s="45">
        <v>9</v>
      </c>
      <c r="B49" s="38" t="s">
        <v>54</v>
      </c>
      <c r="C49" s="32" t="s">
        <v>88</v>
      </c>
      <c r="D49" s="17" t="s">
        <v>13</v>
      </c>
      <c r="E49" s="18">
        <f>SUM(E50:E52)</f>
        <v>1155721.08</v>
      </c>
      <c r="F49" s="18">
        <f t="shared" ref="F49:I49" si="25">SUM(F50:F52)</f>
        <v>1770146.5599999998</v>
      </c>
      <c r="G49" s="18">
        <f t="shared" si="25"/>
        <v>2200058.4500000002</v>
      </c>
      <c r="H49" s="18">
        <f t="shared" si="25"/>
        <v>479636.52999999997</v>
      </c>
      <c r="I49" s="18">
        <f t="shared" si="25"/>
        <v>779559.49</v>
      </c>
    </row>
    <row r="50" spans="1:9" s="21" customFormat="1" ht="13.2" x14ac:dyDescent="0.25">
      <c r="A50" s="45"/>
      <c r="B50" s="39"/>
      <c r="C50" s="33"/>
      <c r="D50" s="24" t="s">
        <v>7</v>
      </c>
      <c r="E50" s="19"/>
      <c r="F50" s="19"/>
      <c r="G50" s="19"/>
      <c r="H50" s="19"/>
      <c r="I50" s="19"/>
    </row>
    <row r="51" spans="1:9" s="21" customFormat="1" ht="13.2" x14ac:dyDescent="0.25">
      <c r="A51" s="45"/>
      <c r="B51" s="39"/>
      <c r="C51" s="33"/>
      <c r="D51" s="24" t="s">
        <v>11</v>
      </c>
      <c r="E51" s="19">
        <v>1040148.97</v>
      </c>
      <c r="F51" s="19">
        <f>978881.9-36000+650250</f>
        <v>1593131.9</v>
      </c>
      <c r="G51" s="19">
        <f>1260000</f>
        <v>1260000</v>
      </c>
      <c r="H51" s="19">
        <f>435900-4227.13</f>
        <v>431672.87</v>
      </c>
      <c r="I51" s="19">
        <v>200000</v>
      </c>
    </row>
    <row r="52" spans="1:9" s="21" customFormat="1" ht="13.2" x14ac:dyDescent="0.25">
      <c r="A52" s="45"/>
      <c r="B52" s="40"/>
      <c r="C52" s="34"/>
      <c r="D52" s="23" t="s">
        <v>12</v>
      </c>
      <c r="E52" s="20">
        <f>101800+13772.11</f>
        <v>115572.11</v>
      </c>
      <c r="F52" s="20">
        <f>108764.66-4000+72250</f>
        <v>177014.66</v>
      </c>
      <c r="G52" s="20">
        <f>140000+690962.81+109095.64</f>
        <v>940058.45000000007</v>
      </c>
      <c r="H52" s="20">
        <f>48433.34-469.68</f>
        <v>47963.659999999996</v>
      </c>
      <c r="I52" s="20">
        <f>22222.22+477337.27+80000</f>
        <v>579559.49</v>
      </c>
    </row>
    <row r="53" spans="1:9" s="21" customFormat="1" ht="13.2" x14ac:dyDescent="0.25">
      <c r="A53" s="45">
        <v>10</v>
      </c>
      <c r="B53" s="38" t="s">
        <v>55</v>
      </c>
      <c r="C53" s="32" t="s">
        <v>88</v>
      </c>
      <c r="D53" s="17" t="s">
        <v>13</v>
      </c>
      <c r="E53" s="18">
        <f>SUM(E54:E56)</f>
        <v>94800</v>
      </c>
      <c r="F53" s="18">
        <f t="shared" ref="F53:I53" si="26">SUM(F54:F56)</f>
        <v>94800</v>
      </c>
      <c r="G53" s="18">
        <f t="shared" si="26"/>
        <v>101280</v>
      </c>
      <c r="H53" s="18">
        <f t="shared" si="26"/>
        <v>0</v>
      </c>
      <c r="I53" s="18">
        <f t="shared" si="26"/>
        <v>0</v>
      </c>
    </row>
    <row r="54" spans="1:9" s="21" customFormat="1" ht="13.2" x14ac:dyDescent="0.25">
      <c r="A54" s="45"/>
      <c r="B54" s="39"/>
      <c r="C54" s="33"/>
      <c r="D54" s="24" t="s">
        <v>7</v>
      </c>
      <c r="E54" s="19"/>
      <c r="F54" s="19"/>
      <c r="G54" s="19"/>
      <c r="H54" s="19"/>
      <c r="I54" s="19"/>
    </row>
    <row r="55" spans="1:9" s="21" customFormat="1" ht="13.2" x14ac:dyDescent="0.25">
      <c r="A55" s="45"/>
      <c r="B55" s="39"/>
      <c r="C55" s="33"/>
      <c r="D55" s="24" t="s">
        <v>11</v>
      </c>
      <c r="E55" s="19"/>
      <c r="F55" s="19"/>
      <c r="G55" s="19"/>
      <c r="H55" s="19"/>
      <c r="I55" s="19"/>
    </row>
    <row r="56" spans="1:9" s="21" customFormat="1" ht="13.2" x14ac:dyDescent="0.25">
      <c r="A56" s="45"/>
      <c r="B56" s="40"/>
      <c r="C56" s="34"/>
      <c r="D56" s="23" t="s">
        <v>12</v>
      </c>
      <c r="E56" s="20">
        <v>94800</v>
      </c>
      <c r="F56" s="20">
        <v>94800</v>
      </c>
      <c r="G56" s="20">
        <f>94800+6480</f>
        <v>101280</v>
      </c>
      <c r="H56" s="20"/>
      <c r="I56" s="20"/>
    </row>
    <row r="57" spans="1:9" s="21" customFormat="1" ht="13.2" customHeight="1" x14ac:dyDescent="0.25">
      <c r="A57" s="45">
        <v>11</v>
      </c>
      <c r="B57" s="38" t="s">
        <v>60</v>
      </c>
      <c r="C57" s="32" t="s">
        <v>88</v>
      </c>
      <c r="D57" s="17" t="s">
        <v>13</v>
      </c>
      <c r="E57" s="18">
        <f t="shared" ref="E57:I57" si="27">SUM(E58:E60)</f>
        <v>0</v>
      </c>
      <c r="F57" s="18">
        <f t="shared" si="27"/>
        <v>0</v>
      </c>
      <c r="G57" s="18">
        <f t="shared" si="27"/>
        <v>0</v>
      </c>
      <c r="H57" s="18">
        <f t="shared" si="27"/>
        <v>0</v>
      </c>
      <c r="I57" s="18">
        <f t="shared" si="27"/>
        <v>888888.89</v>
      </c>
    </row>
    <row r="58" spans="1:9" s="21" customFormat="1" ht="13.2" customHeight="1" x14ac:dyDescent="0.25">
      <c r="A58" s="45"/>
      <c r="B58" s="39"/>
      <c r="C58" s="33"/>
      <c r="D58" s="24" t="s">
        <v>7</v>
      </c>
      <c r="E58" s="19"/>
      <c r="F58" s="19"/>
      <c r="G58" s="19"/>
      <c r="H58" s="19"/>
      <c r="I58" s="19"/>
    </row>
    <row r="59" spans="1:9" s="21" customFormat="1" ht="13.2" customHeight="1" x14ac:dyDescent="0.25">
      <c r="A59" s="45"/>
      <c r="B59" s="39"/>
      <c r="C59" s="33"/>
      <c r="D59" s="24" t="s">
        <v>11</v>
      </c>
      <c r="E59" s="19"/>
      <c r="F59" s="19"/>
      <c r="G59" s="19"/>
      <c r="H59" s="19"/>
      <c r="I59" s="19">
        <f>I63</f>
        <v>800000</v>
      </c>
    </row>
    <row r="60" spans="1:9" s="21" customFormat="1" ht="13.2" customHeight="1" x14ac:dyDescent="0.25">
      <c r="A60" s="45"/>
      <c r="B60" s="40"/>
      <c r="C60" s="34"/>
      <c r="D60" s="23" t="s">
        <v>12</v>
      </c>
      <c r="E60" s="20"/>
      <c r="F60" s="20"/>
      <c r="G60" s="20"/>
      <c r="H60" s="20"/>
      <c r="I60" s="20">
        <f>I64</f>
        <v>88888.89</v>
      </c>
    </row>
    <row r="61" spans="1:9" s="21" customFormat="1" ht="13.2" x14ac:dyDescent="0.25">
      <c r="A61" s="49" t="s">
        <v>80</v>
      </c>
      <c r="B61" s="38" t="s">
        <v>61</v>
      </c>
      <c r="C61" s="32" t="s">
        <v>89</v>
      </c>
      <c r="D61" s="17" t="s">
        <v>13</v>
      </c>
      <c r="E61" s="18">
        <f t="shared" ref="E61:I61" si="28">SUM(E62:E64)</f>
        <v>0</v>
      </c>
      <c r="F61" s="18">
        <f t="shared" si="28"/>
        <v>0</v>
      </c>
      <c r="G61" s="18">
        <f t="shared" si="28"/>
        <v>0</v>
      </c>
      <c r="H61" s="18">
        <f t="shared" si="28"/>
        <v>0</v>
      </c>
      <c r="I61" s="18">
        <f t="shared" si="28"/>
        <v>888888.89</v>
      </c>
    </row>
    <row r="62" spans="1:9" s="21" customFormat="1" ht="13.2" x14ac:dyDescent="0.25">
      <c r="A62" s="50"/>
      <c r="B62" s="39"/>
      <c r="C62" s="33"/>
      <c r="D62" s="24" t="s">
        <v>7</v>
      </c>
      <c r="E62" s="19"/>
      <c r="F62" s="19"/>
      <c r="G62" s="19"/>
      <c r="H62" s="19"/>
      <c r="I62" s="19"/>
    </row>
    <row r="63" spans="1:9" s="21" customFormat="1" ht="13.2" x14ac:dyDescent="0.25">
      <c r="A63" s="50"/>
      <c r="B63" s="39"/>
      <c r="C63" s="33"/>
      <c r="D63" s="24" t="s">
        <v>11</v>
      </c>
      <c r="E63" s="19"/>
      <c r="F63" s="19"/>
      <c r="G63" s="19"/>
      <c r="H63" s="19"/>
      <c r="I63" s="19">
        <v>800000</v>
      </c>
    </row>
    <row r="64" spans="1:9" s="21" customFormat="1" ht="13.2" x14ac:dyDescent="0.25">
      <c r="A64" s="51"/>
      <c r="B64" s="40"/>
      <c r="C64" s="34"/>
      <c r="D64" s="23" t="s">
        <v>12</v>
      </c>
      <c r="E64" s="20"/>
      <c r="F64" s="20"/>
      <c r="G64" s="20"/>
      <c r="H64" s="20"/>
      <c r="I64" s="20">
        <f>88888.89</f>
        <v>88888.89</v>
      </c>
    </row>
    <row r="65" spans="1:12" s="14" customFormat="1" ht="13.95" customHeight="1" x14ac:dyDescent="0.25">
      <c r="A65" s="52" t="s">
        <v>16</v>
      </c>
      <c r="B65" s="52" t="s">
        <v>17</v>
      </c>
      <c r="C65" s="32" t="s">
        <v>88</v>
      </c>
      <c r="D65" s="12" t="s">
        <v>10</v>
      </c>
      <c r="E65" s="13">
        <f>SUM(E66:E68)</f>
        <v>251046759.68000001</v>
      </c>
      <c r="F65" s="13">
        <f t="shared" ref="F65:H65" si="29">SUM(F66:F68)</f>
        <v>253167607.16999999</v>
      </c>
      <c r="G65" s="13">
        <f t="shared" si="29"/>
        <v>273492801.14999998</v>
      </c>
      <c r="H65" s="13">
        <f t="shared" si="29"/>
        <v>306374394.32999998</v>
      </c>
      <c r="I65" s="13">
        <f t="shared" ref="I65" si="30">SUM(I66:I68)</f>
        <v>325261345.62000006</v>
      </c>
      <c r="K65" s="15"/>
      <c r="L65" s="15"/>
    </row>
    <row r="66" spans="1:12" s="14" customFormat="1" x14ac:dyDescent="0.25">
      <c r="A66" s="53"/>
      <c r="B66" s="53"/>
      <c r="C66" s="33"/>
      <c r="D66" s="26" t="s">
        <v>7</v>
      </c>
      <c r="E66" s="16">
        <f>E71+E75+E79+E87+E99+E103+E108+E112+E120+E124+E128+E132+E116+E144+E91+E95+E149+E83</f>
        <v>21564329.66</v>
      </c>
      <c r="F66" s="16">
        <f t="shared" ref="F66:I66" si="31">F71+F75+F79+F87+F99+F103+F108+F112+F120+F124+F128+F132+F116+F144+F91+F95+F149+F83</f>
        <v>22403059.990000002</v>
      </c>
      <c r="G66" s="16">
        <f t="shared" si="31"/>
        <v>23333128.98</v>
      </c>
      <c r="H66" s="16">
        <f t="shared" si="31"/>
        <v>36180917.530000001</v>
      </c>
      <c r="I66" s="16">
        <f t="shared" si="31"/>
        <v>38952634.280000001</v>
      </c>
    </row>
    <row r="67" spans="1:12" s="14" customFormat="1" x14ac:dyDescent="0.25">
      <c r="A67" s="53"/>
      <c r="B67" s="53"/>
      <c r="C67" s="33"/>
      <c r="D67" s="26" t="s">
        <v>11</v>
      </c>
      <c r="E67" s="16">
        <f>E72+E76+E80+E88+E100+E104+E109+E113+E121+E125+E129+E133+E117+E145+E92+E96+E150+E84</f>
        <v>187917051.40000001</v>
      </c>
      <c r="F67" s="16">
        <f t="shared" ref="F67:I67" si="32">F72+F76+F80+F88+F100+F104+F109+F113+F121+F125+F129+F133+F117+F145+F92+F96+F150+F84</f>
        <v>190909415.67999998</v>
      </c>
      <c r="G67" s="16">
        <f t="shared" si="32"/>
        <v>219798059.02000001</v>
      </c>
      <c r="H67" s="16">
        <f t="shared" si="32"/>
        <v>236660110.84999999</v>
      </c>
      <c r="I67" s="16">
        <f t="shared" si="32"/>
        <v>234003555.16000003</v>
      </c>
    </row>
    <row r="68" spans="1:12" s="14" customFormat="1" x14ac:dyDescent="0.25">
      <c r="A68" s="54"/>
      <c r="B68" s="54"/>
      <c r="C68" s="34"/>
      <c r="D68" s="26" t="s">
        <v>12</v>
      </c>
      <c r="E68" s="16">
        <f>E73+E77+E81+E89+E101+E105+E110+E114+E122+E126+E130+E134+E118+E146+E93+E97+E151+E85</f>
        <v>41565378.620000012</v>
      </c>
      <c r="F68" s="16">
        <f t="shared" ref="F68:I68" si="33">F73+F77+F81+F89+F101+F105+F110+F114+F122+F126+F130+F134+F118+F146+F93+F97+F151+F85</f>
        <v>39855131.499999993</v>
      </c>
      <c r="G68" s="16">
        <f t="shared" si="33"/>
        <v>30361613.149999995</v>
      </c>
      <c r="H68" s="16">
        <f t="shared" si="33"/>
        <v>33533365.950000003</v>
      </c>
      <c r="I68" s="16">
        <f t="shared" si="33"/>
        <v>52305156.18</v>
      </c>
      <c r="L68" s="15"/>
    </row>
    <row r="69" spans="1:12" s="14" customFormat="1" x14ac:dyDescent="0.25">
      <c r="A69" s="42" t="s">
        <v>18</v>
      </c>
      <c r="B69" s="43"/>
      <c r="C69" s="43"/>
      <c r="D69" s="43"/>
      <c r="E69" s="43"/>
      <c r="F69" s="43"/>
      <c r="G69" s="43"/>
      <c r="H69" s="43"/>
      <c r="I69" s="44"/>
    </row>
    <row r="70" spans="1:12" x14ac:dyDescent="0.25">
      <c r="A70" s="35">
        <v>1</v>
      </c>
      <c r="B70" s="38" t="s">
        <v>42</v>
      </c>
      <c r="C70" s="32" t="s">
        <v>88</v>
      </c>
      <c r="D70" s="17" t="s">
        <v>13</v>
      </c>
      <c r="E70" s="18">
        <f>SUM(E71:E73)</f>
        <v>40233258.940000005</v>
      </c>
      <c r="F70" s="18">
        <f t="shared" ref="F70:I70" si="34">SUM(F71:F73)</f>
        <v>37984085.209999993</v>
      </c>
      <c r="G70" s="18">
        <f t="shared" si="34"/>
        <v>22904658.729999997</v>
      </c>
      <c r="H70" s="18">
        <f t="shared" si="34"/>
        <v>22930205.48</v>
      </c>
      <c r="I70" s="18">
        <f t="shared" si="34"/>
        <v>34769031.75</v>
      </c>
    </row>
    <row r="71" spans="1:12" x14ac:dyDescent="0.25">
      <c r="A71" s="36"/>
      <c r="B71" s="39"/>
      <c r="C71" s="33"/>
      <c r="D71" s="24" t="s">
        <v>7</v>
      </c>
      <c r="E71" s="19"/>
      <c r="F71" s="19"/>
      <c r="G71" s="19"/>
      <c r="H71" s="19"/>
      <c r="I71" s="19"/>
    </row>
    <row r="72" spans="1:12" x14ac:dyDescent="0.25">
      <c r="A72" s="36"/>
      <c r="B72" s="39"/>
      <c r="C72" s="33"/>
      <c r="D72" s="24" t="s">
        <v>11</v>
      </c>
      <c r="E72" s="19"/>
      <c r="F72" s="19"/>
      <c r="G72" s="19"/>
      <c r="H72" s="19"/>
      <c r="I72" s="19"/>
    </row>
    <row r="73" spans="1:12" x14ac:dyDescent="0.25">
      <c r="A73" s="36"/>
      <c r="B73" s="39"/>
      <c r="C73" s="34"/>
      <c r="D73" s="23" t="s">
        <v>12</v>
      </c>
      <c r="E73" s="19">
        <f>40180754-0.01-540000+500000-295758-552350+43041.08-56257.58+953829.45</f>
        <v>40233258.940000005</v>
      </c>
      <c r="F73" s="19">
        <f>33100000-15000-53235.28-3300000-900000-1593.94+5728569.64+1021071.2+108145+2296128.59</f>
        <v>37984085.209999993</v>
      </c>
      <c r="G73" s="20">
        <f>29678319-7789649.89+570797.38+445192.24</f>
        <v>22904658.729999997</v>
      </c>
      <c r="H73" s="20">
        <f>20471800-299000+4000+111352+363000+230000+35000+3891737.32-25472.74-25000+6903.38-268948.25-1565166.23</f>
        <v>22930205.48</v>
      </c>
      <c r="I73" s="20">
        <f>19875976.21+943490.56+1867036.67+96066.3-40042.43+130200+473928+1654827.48-45000+2612992.32+7112106.6+87450.04</f>
        <v>34769031.75</v>
      </c>
      <c r="K73" s="22"/>
    </row>
    <row r="74" spans="1:12" ht="16.95" customHeight="1" x14ac:dyDescent="0.25">
      <c r="A74" s="35">
        <v>2</v>
      </c>
      <c r="B74" s="38" t="s">
        <v>14</v>
      </c>
      <c r="C74" s="32" t="s">
        <v>88</v>
      </c>
      <c r="D74" s="17" t="s">
        <v>13</v>
      </c>
      <c r="E74" s="18">
        <f>SUM(E75:E77)</f>
        <v>168760390.72999999</v>
      </c>
      <c r="F74" s="18">
        <f t="shared" ref="F74:I74" si="35">SUM(F75:F77)</f>
        <v>180243707.56999999</v>
      </c>
      <c r="G74" s="18">
        <f t="shared" si="35"/>
        <v>197474100</v>
      </c>
      <c r="H74" s="18">
        <f t="shared" si="35"/>
        <v>207449568.91999999</v>
      </c>
      <c r="I74" s="18">
        <f t="shared" si="35"/>
        <v>208497382.23000002</v>
      </c>
    </row>
    <row r="75" spans="1:12" ht="16.95" customHeight="1" x14ac:dyDescent="0.25">
      <c r="A75" s="36"/>
      <c r="B75" s="39"/>
      <c r="C75" s="33"/>
      <c r="D75" s="24" t="s">
        <v>7</v>
      </c>
      <c r="E75" s="19"/>
      <c r="F75" s="19"/>
      <c r="G75" s="19"/>
      <c r="H75" s="19"/>
      <c r="I75" s="19"/>
    </row>
    <row r="76" spans="1:12" ht="16.95" customHeight="1" x14ac:dyDescent="0.25">
      <c r="A76" s="36"/>
      <c r="B76" s="39"/>
      <c r="C76" s="33"/>
      <c r="D76" s="24" t="s">
        <v>11</v>
      </c>
      <c r="E76" s="19">
        <f>164212248-3894252+1949700+6492694.73</f>
        <v>168760390.72999999</v>
      </c>
      <c r="F76" s="19">
        <f>178667294-6990894.08+2195500+7369100-997292.35</f>
        <v>180243707.56999999</v>
      </c>
      <c r="G76" s="19">
        <f>181900800+2290800+6820000+6462500</f>
        <v>197474100</v>
      </c>
      <c r="H76" s="19">
        <f>177108900+2188100-1000000+26745000-1388500+6187104-1577832-813203.08</f>
        <v>207449568.91999999</v>
      </c>
      <c r="I76" s="19">
        <f>186297600+3625700+3786700+11687600-58864.14+1600000+1558646.37</f>
        <v>208497382.23000002</v>
      </c>
    </row>
    <row r="77" spans="1:12" ht="16.95" customHeight="1" x14ac:dyDescent="0.25">
      <c r="A77" s="37"/>
      <c r="B77" s="40"/>
      <c r="C77" s="34"/>
      <c r="D77" s="23" t="s">
        <v>12</v>
      </c>
      <c r="E77" s="20"/>
      <c r="F77" s="20"/>
      <c r="G77" s="20"/>
      <c r="H77" s="20"/>
      <c r="I77" s="20"/>
    </row>
    <row r="78" spans="1:12" ht="33.75" customHeight="1" x14ac:dyDescent="0.25">
      <c r="A78" s="35">
        <v>3</v>
      </c>
      <c r="B78" s="38" t="s">
        <v>19</v>
      </c>
      <c r="C78" s="32" t="s">
        <v>88</v>
      </c>
      <c r="D78" s="17" t="s">
        <v>13</v>
      </c>
      <c r="E78" s="18">
        <f>SUM(E79:E81)</f>
        <v>14925600</v>
      </c>
      <c r="F78" s="18">
        <f t="shared" ref="F78:I78" si="36">SUM(F79:F81)</f>
        <v>15555500</v>
      </c>
      <c r="G78" s="18">
        <f t="shared" si="36"/>
        <v>16103200</v>
      </c>
      <c r="H78" s="18">
        <f t="shared" si="36"/>
        <v>24979600</v>
      </c>
      <c r="I78" s="18">
        <f t="shared" si="36"/>
        <v>29411900</v>
      </c>
    </row>
    <row r="79" spans="1:12" ht="33.75" customHeight="1" x14ac:dyDescent="0.25">
      <c r="A79" s="36"/>
      <c r="B79" s="39"/>
      <c r="C79" s="33"/>
      <c r="D79" s="24" t="s">
        <v>7</v>
      </c>
      <c r="E79" s="19">
        <v>14925600</v>
      </c>
      <c r="F79" s="19">
        <v>15555500</v>
      </c>
      <c r="G79" s="19">
        <f>16103200</f>
        <v>16103200</v>
      </c>
      <c r="H79" s="19">
        <f>16449800+2496700+10233100-4200000</f>
        <v>24979600</v>
      </c>
      <c r="I79" s="19">
        <f>30911900-1500000</f>
        <v>29411900</v>
      </c>
    </row>
    <row r="80" spans="1:12" ht="33.75" customHeight="1" x14ac:dyDescent="0.25">
      <c r="A80" s="36"/>
      <c r="B80" s="39"/>
      <c r="C80" s="33"/>
      <c r="D80" s="24" t="s">
        <v>11</v>
      </c>
      <c r="E80" s="19"/>
      <c r="F80" s="19"/>
      <c r="G80" s="19"/>
      <c r="H80" s="19"/>
      <c r="I80" s="19"/>
    </row>
    <row r="81" spans="1:11" ht="33.75" customHeight="1" x14ac:dyDescent="0.25">
      <c r="A81" s="36"/>
      <c r="B81" s="40"/>
      <c r="C81" s="34"/>
      <c r="D81" s="23" t="s">
        <v>12</v>
      </c>
      <c r="E81" s="20"/>
      <c r="F81" s="20"/>
      <c r="G81" s="20"/>
      <c r="H81" s="20"/>
      <c r="I81" s="20"/>
    </row>
    <row r="82" spans="1:11" ht="24" customHeight="1" x14ac:dyDescent="0.25">
      <c r="A82" s="36"/>
      <c r="B82" s="38" t="s">
        <v>74</v>
      </c>
      <c r="C82" s="32" t="s">
        <v>88</v>
      </c>
      <c r="D82" s="17" t="s">
        <v>13</v>
      </c>
      <c r="E82" s="18">
        <f>SUM(E83:E85)</f>
        <v>0</v>
      </c>
      <c r="F82" s="18">
        <f t="shared" ref="F82:I82" si="37">SUM(F83:F85)</f>
        <v>0</v>
      </c>
      <c r="G82" s="18">
        <f t="shared" si="37"/>
        <v>0</v>
      </c>
      <c r="H82" s="18">
        <f t="shared" si="37"/>
        <v>265800</v>
      </c>
      <c r="I82" s="18">
        <f t="shared" si="37"/>
        <v>797100</v>
      </c>
    </row>
    <row r="83" spans="1:11" ht="24" customHeight="1" x14ac:dyDescent="0.25">
      <c r="A83" s="36"/>
      <c r="B83" s="39"/>
      <c r="C83" s="33"/>
      <c r="D83" s="24" t="s">
        <v>7</v>
      </c>
      <c r="E83" s="20"/>
      <c r="F83" s="20"/>
      <c r="G83" s="20"/>
      <c r="H83" s="20">
        <v>265800</v>
      </c>
      <c r="I83" s="20">
        <v>797100</v>
      </c>
    </row>
    <row r="84" spans="1:11" ht="24" customHeight="1" x14ac:dyDescent="0.25">
      <c r="A84" s="36"/>
      <c r="B84" s="39"/>
      <c r="C84" s="33"/>
      <c r="D84" s="24" t="s">
        <v>11</v>
      </c>
      <c r="E84" s="20"/>
      <c r="F84" s="20"/>
      <c r="G84" s="20"/>
      <c r="H84" s="20"/>
      <c r="I84" s="20"/>
    </row>
    <row r="85" spans="1:11" ht="24" customHeight="1" x14ac:dyDescent="0.25">
      <c r="A85" s="37"/>
      <c r="B85" s="40"/>
      <c r="C85" s="34"/>
      <c r="D85" s="23" t="s">
        <v>12</v>
      </c>
      <c r="E85" s="20"/>
      <c r="F85" s="20"/>
      <c r="G85" s="20"/>
      <c r="H85" s="20"/>
      <c r="I85" s="20"/>
    </row>
    <row r="86" spans="1:11" ht="19.95" customHeight="1" x14ac:dyDescent="0.25">
      <c r="A86" s="35">
        <v>4</v>
      </c>
      <c r="B86" s="38" t="s">
        <v>75</v>
      </c>
      <c r="C86" s="32" t="s">
        <v>88</v>
      </c>
      <c r="D86" s="17" t="s">
        <v>13</v>
      </c>
      <c r="E86" s="18">
        <f>SUM(E87:E89)</f>
        <v>9285858.5899999999</v>
      </c>
      <c r="F86" s="18">
        <f t="shared" ref="F86:I86" si="38">SUM(F87:F89)</f>
        <v>3338787.89</v>
      </c>
      <c r="G86" s="18">
        <f t="shared" si="38"/>
        <v>1928080.82</v>
      </c>
      <c r="H86" s="18">
        <f t="shared" si="38"/>
        <v>4475353.55</v>
      </c>
      <c r="I86" s="18">
        <f t="shared" si="38"/>
        <v>5932323.2400000002</v>
      </c>
    </row>
    <row r="87" spans="1:11" ht="19.95" customHeight="1" x14ac:dyDescent="0.25">
      <c r="A87" s="36"/>
      <c r="B87" s="39"/>
      <c r="C87" s="33"/>
      <c r="D87" s="24" t="s">
        <v>7</v>
      </c>
      <c r="E87" s="19"/>
      <c r="F87" s="19"/>
      <c r="G87" s="19"/>
      <c r="H87" s="19"/>
      <c r="I87" s="19"/>
    </row>
    <row r="88" spans="1:11" ht="19.95" customHeight="1" x14ac:dyDescent="0.25">
      <c r="A88" s="36"/>
      <c r="B88" s="39"/>
      <c r="C88" s="33"/>
      <c r="D88" s="24" t="s">
        <v>11</v>
      </c>
      <c r="E88" s="19">
        <f>2841200+1216800+5135000</f>
        <v>9193000</v>
      </c>
      <c r="F88" s="19">
        <f>1735300+157800+1412300</f>
        <v>3305400</v>
      </c>
      <c r="G88" s="19">
        <f>1908800</f>
        <v>1908800</v>
      </c>
      <c r="H88" s="19">
        <f>1908800+2521800</f>
        <v>4430600</v>
      </c>
      <c r="I88" s="19">
        <f>1908800+3964200</f>
        <v>5873000</v>
      </c>
    </row>
    <row r="89" spans="1:11" ht="19.95" customHeight="1" x14ac:dyDescent="0.25">
      <c r="A89" s="37"/>
      <c r="B89" s="40"/>
      <c r="C89" s="34"/>
      <c r="D89" s="23" t="s">
        <v>12</v>
      </c>
      <c r="E89" s="20">
        <f>28698.98+12290.91+51868.69+0.01</f>
        <v>92858.59</v>
      </c>
      <c r="F89" s="20">
        <f>17528.29+1593.94+14265.66</f>
        <v>33387.89</v>
      </c>
      <c r="G89" s="20">
        <f>19280.82</f>
        <v>19280.82</v>
      </c>
      <c r="H89" s="20">
        <f>19280.81+25472.74</f>
        <v>44753.55</v>
      </c>
      <c r="I89" s="20">
        <f>19280.81+40042.43</f>
        <v>59323.240000000005</v>
      </c>
      <c r="K89" s="22"/>
    </row>
    <row r="90" spans="1:11" x14ac:dyDescent="0.25">
      <c r="A90" s="35">
        <v>5</v>
      </c>
      <c r="B90" s="38" t="s">
        <v>76</v>
      </c>
      <c r="C90" s="32" t="s">
        <v>88</v>
      </c>
      <c r="D90" s="17" t="s">
        <v>13</v>
      </c>
      <c r="E90" s="18">
        <f>SUM(E91:E93)</f>
        <v>0</v>
      </c>
      <c r="F90" s="18">
        <f t="shared" ref="F90:I90" si="39">SUM(F91:F93)</f>
        <v>0</v>
      </c>
      <c r="G90" s="18">
        <f t="shared" si="39"/>
        <v>21823970</v>
      </c>
      <c r="H90" s="18">
        <f t="shared" si="39"/>
        <v>28370800</v>
      </c>
      <c r="I90" s="18">
        <f t="shared" si="39"/>
        <v>28806511.719999999</v>
      </c>
      <c r="K90" s="22"/>
    </row>
    <row r="91" spans="1:11" x14ac:dyDescent="0.25">
      <c r="A91" s="36"/>
      <c r="B91" s="39"/>
      <c r="C91" s="33"/>
      <c r="D91" s="24" t="s">
        <v>7</v>
      </c>
      <c r="E91" s="19"/>
      <c r="F91" s="19"/>
      <c r="G91" s="19"/>
      <c r="H91" s="19"/>
      <c r="I91" s="19"/>
      <c r="K91" s="22"/>
    </row>
    <row r="92" spans="1:11" x14ac:dyDescent="0.25">
      <c r="A92" s="36"/>
      <c r="B92" s="39"/>
      <c r="C92" s="33"/>
      <c r="D92" s="24" t="s">
        <v>11</v>
      </c>
      <c r="E92" s="19"/>
      <c r="F92" s="19"/>
      <c r="G92" s="19">
        <f>15276779</f>
        <v>15276779</v>
      </c>
      <c r="H92" s="19">
        <f>16401866+11500+2000+1300+3358894</f>
        <v>19775560</v>
      </c>
      <c r="I92" s="19">
        <f>14982074-189629-674328.55+285139.41</f>
        <v>14403255.859999999</v>
      </c>
      <c r="K92" s="22"/>
    </row>
    <row r="93" spans="1:11" x14ac:dyDescent="0.25">
      <c r="A93" s="37"/>
      <c r="B93" s="40"/>
      <c r="C93" s="34"/>
      <c r="D93" s="23" t="s">
        <v>12</v>
      </c>
      <c r="E93" s="20"/>
      <c r="F93" s="20"/>
      <c r="G93" s="20">
        <f>6547191</f>
        <v>6547191</v>
      </c>
      <c r="H93" s="20">
        <f>7140914+11500+2000+1300+1439526</f>
        <v>8595240</v>
      </c>
      <c r="I93" s="20">
        <f>14982074-189629-674328.55+285139.41</f>
        <v>14403255.859999999</v>
      </c>
      <c r="K93" s="22"/>
    </row>
    <row r="94" spans="1:11" ht="17.399999999999999" customHeight="1" x14ac:dyDescent="0.25">
      <c r="A94" s="35">
        <v>6</v>
      </c>
      <c r="B94" s="38" t="s">
        <v>77</v>
      </c>
      <c r="C94" s="32" t="s">
        <v>88</v>
      </c>
      <c r="D94" s="17" t="s">
        <v>13</v>
      </c>
      <c r="E94" s="18">
        <f>SUM(E95:E97)</f>
        <v>0</v>
      </c>
      <c r="F94" s="18">
        <f t="shared" ref="F94:I94" si="40">SUM(F95:F97)</f>
        <v>0</v>
      </c>
      <c r="G94" s="18">
        <f t="shared" si="40"/>
        <v>528380</v>
      </c>
      <c r="H94" s="18">
        <f t="shared" si="40"/>
        <v>2335528</v>
      </c>
      <c r="I94" s="18">
        <f t="shared" si="40"/>
        <v>2342458</v>
      </c>
      <c r="K94" s="22"/>
    </row>
    <row r="95" spans="1:11" ht="17.399999999999999" customHeight="1" x14ac:dyDescent="0.25">
      <c r="A95" s="36"/>
      <c r="B95" s="39"/>
      <c r="C95" s="33"/>
      <c r="D95" s="24" t="s">
        <v>7</v>
      </c>
      <c r="E95" s="19"/>
      <c r="F95" s="19"/>
      <c r="G95" s="19">
        <v>501961</v>
      </c>
      <c r="H95" s="19">
        <f>2080655.8+138095.8</f>
        <v>2218751.6</v>
      </c>
      <c r="I95" s="19">
        <v>2225335.0699999998</v>
      </c>
      <c r="K95" s="22"/>
    </row>
    <row r="96" spans="1:11" ht="17.399999999999999" customHeight="1" x14ac:dyDescent="0.25">
      <c r="A96" s="36"/>
      <c r="B96" s="39"/>
      <c r="C96" s="33"/>
      <c r="D96" s="24" t="s">
        <v>11</v>
      </c>
      <c r="E96" s="19"/>
      <c r="F96" s="19"/>
      <c r="G96" s="19">
        <v>26419</v>
      </c>
      <c r="H96" s="19">
        <f>109508.2+7268.2</f>
        <v>116776.4</v>
      </c>
      <c r="I96" s="19">
        <v>117122.93</v>
      </c>
      <c r="K96" s="22"/>
    </row>
    <row r="97" spans="1:11" ht="17.399999999999999" customHeight="1" x14ac:dyDescent="0.25">
      <c r="A97" s="37"/>
      <c r="B97" s="40"/>
      <c r="C97" s="34"/>
      <c r="D97" s="23" t="s">
        <v>12</v>
      </c>
      <c r="E97" s="20"/>
      <c r="F97" s="20"/>
      <c r="G97" s="20"/>
      <c r="H97" s="20"/>
      <c r="I97" s="20"/>
      <c r="K97" s="22"/>
    </row>
    <row r="98" spans="1:11" s="21" customFormat="1" ht="24.15" customHeight="1" x14ac:dyDescent="0.25">
      <c r="A98" s="35">
        <v>7</v>
      </c>
      <c r="B98" s="41" t="s">
        <v>78</v>
      </c>
      <c r="C98" s="32" t="s">
        <v>88</v>
      </c>
      <c r="D98" s="17" t="s">
        <v>13</v>
      </c>
      <c r="E98" s="18">
        <f>SUM(E99:E101)</f>
        <v>330539.3</v>
      </c>
      <c r="F98" s="18">
        <f t="shared" ref="F98:I98" si="41">SUM(F99:F101)</f>
        <v>350200</v>
      </c>
      <c r="G98" s="18">
        <f t="shared" si="41"/>
        <v>307200</v>
      </c>
      <c r="H98" s="18">
        <f t="shared" si="41"/>
        <v>303400</v>
      </c>
      <c r="I98" s="18">
        <f t="shared" si="41"/>
        <v>240500</v>
      </c>
    </row>
    <row r="99" spans="1:11" s="21" customFormat="1" ht="24.15" customHeight="1" x14ac:dyDescent="0.25">
      <c r="A99" s="36"/>
      <c r="B99" s="41"/>
      <c r="C99" s="33"/>
      <c r="D99" s="24" t="s">
        <v>7</v>
      </c>
      <c r="E99" s="19"/>
      <c r="F99" s="19"/>
      <c r="G99" s="19"/>
      <c r="H99" s="19"/>
      <c r="I99" s="19"/>
    </row>
    <row r="100" spans="1:11" s="21" customFormat="1" ht="24.15" customHeight="1" x14ac:dyDescent="0.25">
      <c r="A100" s="36"/>
      <c r="B100" s="41"/>
      <c r="C100" s="33"/>
      <c r="D100" s="24" t="s">
        <v>11</v>
      </c>
      <c r="E100" s="19">
        <f>303000+1200+25000+1339.3</f>
        <v>330539.3</v>
      </c>
      <c r="F100" s="19">
        <v>350200</v>
      </c>
      <c r="G100" s="19">
        <f>363200-56000</f>
        <v>307200</v>
      </c>
      <c r="H100" s="19">
        <f>403400-100000</f>
        <v>303400</v>
      </c>
      <c r="I100" s="19">
        <f>260000-19500</f>
        <v>240500</v>
      </c>
    </row>
    <row r="101" spans="1:11" s="21" customFormat="1" ht="24.15" customHeight="1" x14ac:dyDescent="0.25">
      <c r="A101" s="37"/>
      <c r="B101" s="41"/>
      <c r="C101" s="34"/>
      <c r="D101" s="23" t="s">
        <v>12</v>
      </c>
      <c r="E101" s="20"/>
      <c r="F101" s="20"/>
      <c r="G101" s="20"/>
      <c r="H101" s="20"/>
      <c r="I101" s="20"/>
    </row>
    <row r="102" spans="1:11" s="21" customFormat="1" ht="16.95" customHeight="1" x14ac:dyDescent="0.25">
      <c r="A102" s="35">
        <v>8</v>
      </c>
      <c r="B102" s="41" t="s">
        <v>79</v>
      </c>
      <c r="C102" s="32" t="s">
        <v>88</v>
      </c>
      <c r="D102" s="17" t="s">
        <v>13</v>
      </c>
      <c r="E102" s="18">
        <f>SUM(E103:E105)</f>
        <v>9579696.9700000007</v>
      </c>
      <c r="F102" s="18">
        <f t="shared" ref="F102:I102" si="42">SUM(F103:F105)</f>
        <v>9606565.6600000001</v>
      </c>
      <c r="G102" s="18">
        <f t="shared" si="42"/>
        <v>9438787.8800000008</v>
      </c>
      <c r="H102" s="18">
        <f t="shared" si="42"/>
        <v>8712288.2200000007</v>
      </c>
      <c r="I102" s="18">
        <f t="shared" si="42"/>
        <v>9144639.75</v>
      </c>
    </row>
    <row r="103" spans="1:11" s="21" customFormat="1" ht="16.95" customHeight="1" x14ac:dyDescent="0.25">
      <c r="A103" s="36"/>
      <c r="B103" s="41"/>
      <c r="C103" s="33"/>
      <c r="D103" s="24" t="s">
        <v>7</v>
      </c>
      <c r="E103" s="19">
        <v>6638729.6600000001</v>
      </c>
      <c r="F103" s="19">
        <f>6847561.46-1.47</f>
        <v>6847559.9900000002</v>
      </c>
      <c r="G103" s="19">
        <f>5843735.99+884231.99</f>
        <v>6727967.9800000004</v>
      </c>
      <c r="H103" s="19">
        <f>6702191.99-492072.96</f>
        <v>6210119.0300000003</v>
      </c>
      <c r="I103" s="19">
        <f>6531767.99-13468.79+0.01</f>
        <v>6518299.21</v>
      </c>
    </row>
    <row r="104" spans="1:11" s="21" customFormat="1" ht="16.95" customHeight="1" x14ac:dyDescent="0.25">
      <c r="A104" s="36"/>
      <c r="B104" s="41"/>
      <c r="C104" s="33"/>
      <c r="D104" s="24" t="s">
        <v>11</v>
      </c>
      <c r="E104" s="19">
        <v>2845170.34</v>
      </c>
      <c r="F104" s="19">
        <f>2662938.54+1.47</f>
        <v>2662940.0100000002</v>
      </c>
      <c r="G104" s="19">
        <f>2272564.01+343868.01</f>
        <v>2616432.0199999996</v>
      </c>
      <c r="H104" s="19">
        <f>2606408.01-191361.71</f>
        <v>2415046.2999999998</v>
      </c>
      <c r="I104" s="19">
        <f>2540132.01-5237.86-0.01</f>
        <v>2534894.14</v>
      </c>
    </row>
    <row r="105" spans="1:11" s="21" customFormat="1" ht="16.95" customHeight="1" x14ac:dyDescent="0.25">
      <c r="A105" s="37"/>
      <c r="B105" s="41"/>
      <c r="C105" s="34"/>
      <c r="D105" s="23" t="s">
        <v>12</v>
      </c>
      <c r="E105" s="20">
        <v>95796.97</v>
      </c>
      <c r="F105" s="20">
        <f>96065.66</f>
        <v>96065.66</v>
      </c>
      <c r="G105" s="20">
        <f>94387.88</f>
        <v>94387.88</v>
      </c>
      <c r="H105" s="20">
        <f>94026.27-6903.38</f>
        <v>87122.89</v>
      </c>
      <c r="I105" s="20">
        <f>91635.36-188.96</f>
        <v>91446.399999999994</v>
      </c>
    </row>
    <row r="106" spans="1:11" s="21" customFormat="1" ht="13.95" customHeight="1" x14ac:dyDescent="0.25">
      <c r="A106" s="42" t="s">
        <v>65</v>
      </c>
      <c r="B106" s="43"/>
      <c r="C106" s="43"/>
      <c r="D106" s="43"/>
      <c r="E106" s="43"/>
      <c r="F106" s="43"/>
      <c r="G106" s="43"/>
      <c r="H106" s="43"/>
      <c r="I106" s="44"/>
    </row>
    <row r="107" spans="1:11" s="21" customFormat="1" ht="13.2" x14ac:dyDescent="0.25">
      <c r="A107" s="35">
        <v>9</v>
      </c>
      <c r="B107" s="38" t="s">
        <v>21</v>
      </c>
      <c r="C107" s="32" t="s">
        <v>88</v>
      </c>
      <c r="D107" s="17" t="s">
        <v>13</v>
      </c>
      <c r="E107" s="18">
        <f>SUM(E108:E110)</f>
        <v>235179.17</v>
      </c>
      <c r="F107" s="18">
        <f t="shared" ref="F107:I107" si="43">SUM(F108:F110)</f>
        <v>95794.240000000005</v>
      </c>
      <c r="G107" s="18">
        <f t="shared" si="43"/>
        <v>33580</v>
      </c>
      <c r="H107" s="18">
        <f t="shared" si="43"/>
        <v>0</v>
      </c>
      <c r="I107" s="18">
        <f t="shared" si="43"/>
        <v>0</v>
      </c>
    </row>
    <row r="108" spans="1:11" s="21" customFormat="1" ht="13.2" x14ac:dyDescent="0.25">
      <c r="A108" s="36"/>
      <c r="B108" s="39"/>
      <c r="C108" s="33"/>
      <c r="D108" s="24" t="s">
        <v>7</v>
      </c>
      <c r="E108" s="19"/>
      <c r="F108" s="19"/>
      <c r="G108" s="19"/>
      <c r="H108" s="19"/>
      <c r="I108" s="19"/>
    </row>
    <row r="109" spans="1:11" s="21" customFormat="1" ht="13.2" x14ac:dyDescent="0.25">
      <c r="A109" s="36"/>
      <c r="B109" s="39"/>
      <c r="C109" s="33"/>
      <c r="D109" s="24" t="s">
        <v>11</v>
      </c>
      <c r="E109" s="19"/>
      <c r="F109" s="19"/>
      <c r="G109" s="19"/>
      <c r="H109" s="19"/>
      <c r="I109" s="19"/>
    </row>
    <row r="110" spans="1:11" s="21" customFormat="1" ht="13.2" x14ac:dyDescent="0.25">
      <c r="A110" s="37"/>
      <c r="B110" s="40"/>
      <c r="C110" s="34"/>
      <c r="D110" s="23" t="s">
        <v>12</v>
      </c>
      <c r="E110" s="20">
        <f>226800+8379.17</f>
        <v>235179.17</v>
      </c>
      <c r="F110" s="20">
        <f>264240-168445.75-0.01</f>
        <v>95794.240000000005</v>
      </c>
      <c r="G110" s="20">
        <f>79200-45620</f>
        <v>33580</v>
      </c>
      <c r="H110" s="20"/>
      <c r="I110" s="20"/>
    </row>
    <row r="111" spans="1:11" s="21" customFormat="1" ht="13.2" x14ac:dyDescent="0.25">
      <c r="A111" s="35">
        <v>10</v>
      </c>
      <c r="B111" s="38" t="s">
        <v>22</v>
      </c>
      <c r="C111" s="32" t="s">
        <v>88</v>
      </c>
      <c r="D111" s="17" t="s">
        <v>13</v>
      </c>
      <c r="E111" s="18">
        <f>SUM(E112:E114)</f>
        <v>0</v>
      </c>
      <c r="F111" s="18">
        <f t="shared" ref="F111:I111" si="44">SUM(F112:F114)</f>
        <v>25000</v>
      </c>
      <c r="G111" s="18">
        <f t="shared" si="44"/>
        <v>0</v>
      </c>
      <c r="H111" s="18">
        <f t="shared" si="44"/>
        <v>25000</v>
      </c>
      <c r="I111" s="18">
        <f t="shared" si="44"/>
        <v>614497</v>
      </c>
    </row>
    <row r="112" spans="1:11" s="21" customFormat="1" ht="13.2" x14ac:dyDescent="0.25">
      <c r="A112" s="36"/>
      <c r="B112" s="39"/>
      <c r="C112" s="33"/>
      <c r="D112" s="24" t="s">
        <v>7</v>
      </c>
      <c r="E112" s="19"/>
      <c r="F112" s="19"/>
      <c r="G112" s="19"/>
      <c r="H112" s="19"/>
      <c r="I112" s="19"/>
    </row>
    <row r="113" spans="1:9" s="21" customFormat="1" ht="13.2" x14ac:dyDescent="0.25">
      <c r="A113" s="36"/>
      <c r="B113" s="39"/>
      <c r="C113" s="33"/>
      <c r="D113" s="24" t="s">
        <v>11</v>
      </c>
      <c r="E113" s="19"/>
      <c r="F113" s="19"/>
      <c r="G113" s="19"/>
      <c r="H113" s="19"/>
      <c r="I113" s="19"/>
    </row>
    <row r="114" spans="1:9" s="21" customFormat="1" ht="13.2" x14ac:dyDescent="0.25">
      <c r="A114" s="37"/>
      <c r="B114" s="40"/>
      <c r="C114" s="34"/>
      <c r="D114" s="23" t="s">
        <v>12</v>
      </c>
      <c r="E114" s="20"/>
      <c r="F114" s="20">
        <v>25000</v>
      </c>
      <c r="G114" s="20"/>
      <c r="H114" s="20">
        <v>25000</v>
      </c>
      <c r="I114" s="20">
        <f>624120-9623</f>
        <v>614497</v>
      </c>
    </row>
    <row r="115" spans="1:9" s="21" customFormat="1" ht="37.200000000000003" customHeight="1" x14ac:dyDescent="0.25">
      <c r="A115" s="35">
        <v>11</v>
      </c>
      <c r="B115" s="38" t="s">
        <v>56</v>
      </c>
      <c r="C115" s="32" t="s">
        <v>88</v>
      </c>
      <c r="D115" s="17" t="s">
        <v>13</v>
      </c>
      <c r="E115" s="18">
        <f>SUM(E116:E118)</f>
        <v>154068.16</v>
      </c>
      <c r="F115" s="18">
        <f t="shared" ref="F115:I115" si="45">SUM(F116:F118)</f>
        <v>750000</v>
      </c>
      <c r="G115" s="18">
        <f t="shared" si="45"/>
        <v>0</v>
      </c>
      <c r="H115" s="18">
        <f t="shared" si="45"/>
        <v>0</v>
      </c>
      <c r="I115" s="18">
        <f t="shared" si="45"/>
        <v>0</v>
      </c>
    </row>
    <row r="116" spans="1:9" s="21" customFormat="1" ht="37.200000000000003" customHeight="1" x14ac:dyDescent="0.25">
      <c r="A116" s="36"/>
      <c r="B116" s="39"/>
      <c r="C116" s="33"/>
      <c r="D116" s="24" t="s">
        <v>7</v>
      </c>
      <c r="E116" s="19"/>
      <c r="F116" s="19"/>
      <c r="G116" s="19"/>
      <c r="H116" s="19"/>
      <c r="I116" s="19"/>
    </row>
    <row r="117" spans="1:9" s="21" customFormat="1" ht="37.200000000000003" customHeight="1" x14ac:dyDescent="0.25">
      <c r="A117" s="36"/>
      <c r="B117" s="39"/>
      <c r="C117" s="33"/>
      <c r="D117" s="24" t="s">
        <v>11</v>
      </c>
      <c r="E117" s="19"/>
      <c r="F117" s="19"/>
      <c r="G117" s="19"/>
      <c r="H117" s="19"/>
      <c r="I117" s="19"/>
    </row>
    <row r="118" spans="1:9" s="21" customFormat="1" ht="37.200000000000003" customHeight="1" x14ac:dyDescent="0.25">
      <c r="A118" s="37"/>
      <c r="B118" s="40"/>
      <c r="C118" s="34"/>
      <c r="D118" s="23" t="s">
        <v>12</v>
      </c>
      <c r="E118" s="20">
        <v>154068.16</v>
      </c>
      <c r="F118" s="20">
        <f>500000+250000</f>
        <v>750000</v>
      </c>
      <c r="G118" s="20"/>
      <c r="H118" s="20"/>
      <c r="I118" s="20"/>
    </row>
    <row r="119" spans="1:9" s="21" customFormat="1" ht="13.2" x14ac:dyDescent="0.25">
      <c r="A119" s="35">
        <v>12</v>
      </c>
      <c r="B119" s="38" t="s">
        <v>57</v>
      </c>
      <c r="C119" s="32" t="s">
        <v>88</v>
      </c>
      <c r="D119" s="17" t="s">
        <v>13</v>
      </c>
      <c r="E119" s="18">
        <f>SUM(E120:E122)</f>
        <v>6108834.4799999995</v>
      </c>
      <c r="F119" s="18">
        <f t="shared" ref="F119:I119" si="46">SUM(F120:F122)</f>
        <v>4078520.11</v>
      </c>
      <c r="G119" s="18">
        <f t="shared" si="46"/>
        <v>1046969.08</v>
      </c>
      <c r="H119" s="18">
        <f t="shared" si="46"/>
        <v>4306451.2699999996</v>
      </c>
      <c r="I119" s="18">
        <f t="shared" si="46"/>
        <v>3656451.0400000005</v>
      </c>
    </row>
    <row r="120" spans="1:9" s="21" customFormat="1" ht="13.2" x14ac:dyDescent="0.25">
      <c r="A120" s="36"/>
      <c r="B120" s="39"/>
      <c r="C120" s="33"/>
      <c r="D120" s="24" t="s">
        <v>7</v>
      </c>
      <c r="E120" s="19"/>
      <c r="F120" s="19"/>
      <c r="G120" s="19"/>
      <c r="H120" s="19">
        <f>1631700+874946.9</f>
        <v>2506646.9</v>
      </c>
      <c r="I120" s="19"/>
    </row>
    <row r="121" spans="1:9" s="21" customFormat="1" ht="13.2" x14ac:dyDescent="0.25">
      <c r="A121" s="36"/>
      <c r="B121" s="39"/>
      <c r="C121" s="33"/>
      <c r="D121" s="24" t="s">
        <v>11</v>
      </c>
      <c r="E121" s="19">
        <f>1957200+3540751.03</f>
        <v>5497951.0299999993</v>
      </c>
      <c r="F121" s="19">
        <f>775718.1+36000+1754600+1104350</f>
        <v>3670668.1</v>
      </c>
      <c r="G121" s="19">
        <f>509300</f>
        <v>509300</v>
      </c>
      <c r="H121" s="19">
        <f>1233000+85879+46053.1+4227.13</f>
        <v>1369159.23</v>
      </c>
      <c r="I121" s="19">
        <f>1537400</f>
        <v>1537400</v>
      </c>
    </row>
    <row r="122" spans="1:9" s="21" customFormat="1" ht="13.2" x14ac:dyDescent="0.25">
      <c r="A122" s="36"/>
      <c r="B122" s="40"/>
      <c r="C122" s="34"/>
      <c r="D122" s="23" t="s">
        <v>12</v>
      </c>
      <c r="E122" s="20">
        <f>217466.67+393416.78</f>
        <v>610883.45000000007</v>
      </c>
      <c r="F122" s="20">
        <f>86190.9+194955.56+4000+122705.55</f>
        <v>407852.00999999995</v>
      </c>
      <c r="G122" s="20">
        <f>56588.89+481080.19</f>
        <v>537669.07999999996</v>
      </c>
      <c r="H122" s="20">
        <f>137000+190842.12+102333.34+469.68</f>
        <v>430645.13999999996</v>
      </c>
      <c r="I122" s="20">
        <f>170822.23+2028242.11+119986.7-200000</f>
        <v>2119051.0400000005</v>
      </c>
    </row>
    <row r="123" spans="1:9" s="21" customFormat="1" ht="13.2" x14ac:dyDescent="0.25">
      <c r="A123" s="45">
        <v>13</v>
      </c>
      <c r="B123" s="38" t="s">
        <v>58</v>
      </c>
      <c r="C123" s="32" t="s">
        <v>88</v>
      </c>
      <c r="D123" s="17" t="s">
        <v>13</v>
      </c>
      <c r="E123" s="18">
        <f t="shared" ref="E123:I123" si="47">SUM(E124:E126)</f>
        <v>0</v>
      </c>
      <c r="F123" s="18">
        <f t="shared" si="47"/>
        <v>0</v>
      </c>
      <c r="G123" s="18">
        <f t="shared" si="47"/>
        <v>0</v>
      </c>
      <c r="H123" s="18">
        <f t="shared" si="47"/>
        <v>1231300</v>
      </c>
      <c r="I123" s="18">
        <f t="shared" si="47"/>
        <v>0</v>
      </c>
    </row>
    <row r="124" spans="1:9" s="21" customFormat="1" ht="13.2" x14ac:dyDescent="0.25">
      <c r="A124" s="45"/>
      <c r="B124" s="39"/>
      <c r="C124" s="33"/>
      <c r="D124" s="24" t="s">
        <v>7</v>
      </c>
      <c r="E124" s="19"/>
      <c r="F124" s="19"/>
      <c r="G124" s="19"/>
      <c r="H124" s="19"/>
      <c r="I124" s="19"/>
    </row>
    <row r="125" spans="1:9" s="21" customFormat="1" ht="13.2" x14ac:dyDescent="0.25">
      <c r="A125" s="45"/>
      <c r="B125" s="39"/>
      <c r="C125" s="33"/>
      <c r="D125" s="24" t="s">
        <v>11</v>
      </c>
      <c r="E125" s="19"/>
      <c r="F125" s="19"/>
      <c r="G125" s="19"/>
      <c r="H125" s="19"/>
      <c r="I125" s="19"/>
    </row>
    <row r="126" spans="1:9" s="21" customFormat="1" ht="13.2" x14ac:dyDescent="0.25">
      <c r="A126" s="45"/>
      <c r="B126" s="40"/>
      <c r="C126" s="34"/>
      <c r="D126" s="23" t="s">
        <v>12</v>
      </c>
      <c r="E126" s="20"/>
      <c r="F126" s="20"/>
      <c r="G126" s="20"/>
      <c r="H126" s="20">
        <f>800000+431300</f>
        <v>1231300</v>
      </c>
      <c r="I126" s="20"/>
    </row>
    <row r="127" spans="1:9" s="21" customFormat="1" ht="13.2" x14ac:dyDescent="0.25">
      <c r="A127" s="45">
        <v>14</v>
      </c>
      <c r="B127" s="38" t="s">
        <v>59</v>
      </c>
      <c r="C127" s="32" t="s">
        <v>88</v>
      </c>
      <c r="D127" s="17" t="s">
        <v>13</v>
      </c>
      <c r="E127" s="18">
        <f t="shared" ref="E127:I127" si="48">SUM(E128:E130)</f>
        <v>0</v>
      </c>
      <c r="F127" s="18">
        <f t="shared" si="48"/>
        <v>0</v>
      </c>
      <c r="G127" s="18">
        <f t="shared" si="48"/>
        <v>19820</v>
      </c>
      <c r="H127" s="18">
        <f t="shared" si="48"/>
        <v>29900</v>
      </c>
      <c r="I127" s="18">
        <f t="shared" si="48"/>
        <v>81100</v>
      </c>
    </row>
    <row r="128" spans="1:9" s="21" customFormat="1" ht="13.2" x14ac:dyDescent="0.25">
      <c r="A128" s="45"/>
      <c r="B128" s="39"/>
      <c r="C128" s="33"/>
      <c r="D128" s="24" t="s">
        <v>7</v>
      </c>
      <c r="E128" s="19"/>
      <c r="F128" s="19"/>
      <c r="G128" s="19"/>
      <c r="H128" s="19"/>
      <c r="I128" s="19"/>
    </row>
    <row r="129" spans="1:9" s="21" customFormat="1" ht="13.2" x14ac:dyDescent="0.25">
      <c r="A129" s="45"/>
      <c r="B129" s="39"/>
      <c r="C129" s="33"/>
      <c r="D129" s="24" t="s">
        <v>11</v>
      </c>
      <c r="E129" s="19"/>
      <c r="F129" s="19"/>
      <c r="G129" s="19"/>
      <c r="H129" s="19"/>
      <c r="I129" s="19"/>
    </row>
    <row r="130" spans="1:9" s="21" customFormat="1" ht="13.2" x14ac:dyDescent="0.25">
      <c r="A130" s="45"/>
      <c r="B130" s="40"/>
      <c r="C130" s="34"/>
      <c r="D130" s="23" t="s">
        <v>12</v>
      </c>
      <c r="E130" s="20"/>
      <c r="F130" s="20"/>
      <c r="G130" s="20">
        <v>19820</v>
      </c>
      <c r="H130" s="20">
        <f>30000-100</f>
        <v>29900</v>
      </c>
      <c r="I130" s="20">
        <f>30000+51000+100</f>
        <v>81100</v>
      </c>
    </row>
    <row r="131" spans="1:9" s="21" customFormat="1" ht="13.2" x14ac:dyDescent="0.25">
      <c r="A131" s="45">
        <v>15</v>
      </c>
      <c r="B131" s="38" t="s">
        <v>60</v>
      </c>
      <c r="C131" s="32" t="s">
        <v>88</v>
      </c>
      <c r="D131" s="17" t="s">
        <v>13</v>
      </c>
      <c r="E131" s="18">
        <f t="shared" ref="E131:I131" si="49">SUM(E132:E134)</f>
        <v>1433333.34</v>
      </c>
      <c r="F131" s="18">
        <f t="shared" si="49"/>
        <v>751666.67</v>
      </c>
      <c r="G131" s="18">
        <f t="shared" si="49"/>
        <v>1865587.78</v>
      </c>
      <c r="H131" s="18">
        <f t="shared" si="49"/>
        <v>888888.89</v>
      </c>
      <c r="I131" s="18">
        <f t="shared" si="49"/>
        <v>888888.89</v>
      </c>
    </row>
    <row r="132" spans="1:9" s="21" customFormat="1" ht="13.2" x14ac:dyDescent="0.25">
      <c r="A132" s="45"/>
      <c r="B132" s="39"/>
      <c r="C132" s="33"/>
      <c r="D132" s="24" t="s">
        <v>7</v>
      </c>
      <c r="E132" s="19"/>
      <c r="F132" s="19"/>
      <c r="G132" s="19"/>
      <c r="H132" s="19"/>
      <c r="I132" s="19"/>
    </row>
    <row r="133" spans="1:9" s="21" customFormat="1" ht="13.2" x14ac:dyDescent="0.25">
      <c r="A133" s="45"/>
      <c r="B133" s="39"/>
      <c r="C133" s="33"/>
      <c r="D133" s="24" t="s">
        <v>11</v>
      </c>
      <c r="E133" s="19">
        <f t="shared" ref="E133:G134" si="50">E137+E141</f>
        <v>1290000</v>
      </c>
      <c r="F133" s="19">
        <f t="shared" si="50"/>
        <v>676500</v>
      </c>
      <c r="G133" s="19">
        <f t="shared" si="50"/>
        <v>1679029</v>
      </c>
      <c r="H133" s="19">
        <f t="shared" ref="H133:I133" si="51">H137+H141</f>
        <v>800000</v>
      </c>
      <c r="I133" s="19">
        <f t="shared" si="51"/>
        <v>800000</v>
      </c>
    </row>
    <row r="134" spans="1:9" s="21" customFormat="1" ht="13.2" x14ac:dyDescent="0.25">
      <c r="A134" s="45"/>
      <c r="B134" s="40"/>
      <c r="C134" s="34"/>
      <c r="D134" s="23" t="s">
        <v>12</v>
      </c>
      <c r="E134" s="20">
        <f t="shared" si="50"/>
        <v>143333.34</v>
      </c>
      <c r="F134" s="20">
        <f t="shared" si="50"/>
        <v>75166.67</v>
      </c>
      <c r="G134" s="20">
        <f t="shared" si="50"/>
        <v>186558.78</v>
      </c>
      <c r="H134" s="20">
        <f t="shared" ref="H134:I134" si="52">H138+H142</f>
        <v>88888.89</v>
      </c>
      <c r="I134" s="20">
        <f t="shared" si="52"/>
        <v>88888.89</v>
      </c>
    </row>
    <row r="135" spans="1:9" s="21" customFormat="1" ht="13.2" x14ac:dyDescent="0.25">
      <c r="A135" s="49" t="s">
        <v>81</v>
      </c>
      <c r="B135" s="38" t="s">
        <v>61</v>
      </c>
      <c r="C135" s="32" t="s">
        <v>88</v>
      </c>
      <c r="D135" s="17" t="s">
        <v>13</v>
      </c>
      <c r="E135" s="18">
        <f t="shared" ref="E135:I135" si="53">SUM(E136:E138)</f>
        <v>1333333.3400000001</v>
      </c>
      <c r="F135" s="18">
        <f t="shared" si="53"/>
        <v>666666.67000000004</v>
      </c>
      <c r="G135" s="18">
        <f t="shared" si="53"/>
        <v>1777777.78</v>
      </c>
      <c r="H135" s="18">
        <f t="shared" si="53"/>
        <v>888888.89</v>
      </c>
      <c r="I135" s="18">
        <f t="shared" si="53"/>
        <v>888888.89</v>
      </c>
    </row>
    <row r="136" spans="1:9" s="21" customFormat="1" ht="13.2" x14ac:dyDescent="0.25">
      <c r="A136" s="50"/>
      <c r="B136" s="39"/>
      <c r="C136" s="33"/>
      <c r="D136" s="24" t="s">
        <v>7</v>
      </c>
      <c r="E136" s="19"/>
      <c r="F136" s="19"/>
      <c r="G136" s="19"/>
      <c r="H136" s="19"/>
      <c r="I136" s="19"/>
    </row>
    <row r="137" spans="1:9" s="21" customFormat="1" ht="13.2" x14ac:dyDescent="0.25">
      <c r="A137" s="50"/>
      <c r="B137" s="39"/>
      <c r="C137" s="33"/>
      <c r="D137" s="24" t="s">
        <v>11</v>
      </c>
      <c r="E137" s="19">
        <v>1200000</v>
      </c>
      <c r="F137" s="19">
        <v>600000</v>
      </c>
      <c r="G137" s="19">
        <v>1600000</v>
      </c>
      <c r="H137" s="19">
        <v>800000</v>
      </c>
      <c r="I137" s="19">
        <v>800000</v>
      </c>
    </row>
    <row r="138" spans="1:9" s="21" customFormat="1" ht="13.2" x14ac:dyDescent="0.25">
      <c r="A138" s="51"/>
      <c r="B138" s="40"/>
      <c r="C138" s="34"/>
      <c r="D138" s="23" t="s">
        <v>12</v>
      </c>
      <c r="E138" s="20">
        <v>133333.34</v>
      </c>
      <c r="F138" s="20">
        <v>66666.67</v>
      </c>
      <c r="G138" s="20">
        <f>177777.78</f>
        <v>177777.78</v>
      </c>
      <c r="H138" s="20">
        <v>88888.89</v>
      </c>
      <c r="I138" s="20">
        <f>88888.89</f>
        <v>88888.89</v>
      </c>
    </row>
    <row r="139" spans="1:9" s="21" customFormat="1" ht="13.2" x14ac:dyDescent="0.25">
      <c r="A139" s="49" t="s">
        <v>82</v>
      </c>
      <c r="B139" s="38" t="s">
        <v>62</v>
      </c>
      <c r="C139" s="32" t="s">
        <v>88</v>
      </c>
      <c r="D139" s="17" t="s">
        <v>13</v>
      </c>
      <c r="E139" s="18">
        <f t="shared" ref="E139:I139" si="54">SUM(E140:E142)</f>
        <v>100000</v>
      </c>
      <c r="F139" s="18">
        <f t="shared" si="54"/>
        <v>85000</v>
      </c>
      <c r="G139" s="18">
        <f t="shared" si="54"/>
        <v>87810</v>
      </c>
      <c r="H139" s="18">
        <f t="shared" si="54"/>
        <v>0</v>
      </c>
      <c r="I139" s="18">
        <f t="shared" si="54"/>
        <v>0</v>
      </c>
    </row>
    <row r="140" spans="1:9" s="21" customFormat="1" ht="13.2" x14ac:dyDescent="0.25">
      <c r="A140" s="50"/>
      <c r="B140" s="39"/>
      <c r="C140" s="33"/>
      <c r="D140" s="24" t="s">
        <v>7</v>
      </c>
      <c r="E140" s="19"/>
      <c r="F140" s="19"/>
      <c r="G140" s="19"/>
      <c r="H140" s="19"/>
      <c r="I140" s="19"/>
    </row>
    <row r="141" spans="1:9" s="21" customFormat="1" ht="13.2" x14ac:dyDescent="0.25">
      <c r="A141" s="50"/>
      <c r="B141" s="39"/>
      <c r="C141" s="33"/>
      <c r="D141" s="24" t="s">
        <v>11</v>
      </c>
      <c r="E141" s="19">
        <v>90000</v>
      </c>
      <c r="F141" s="19">
        <v>76500</v>
      </c>
      <c r="G141" s="19">
        <v>79029</v>
      </c>
      <c r="H141" s="19"/>
      <c r="I141" s="19"/>
    </row>
    <row r="142" spans="1:9" s="21" customFormat="1" ht="13.2" x14ac:dyDescent="0.25">
      <c r="A142" s="51"/>
      <c r="B142" s="40"/>
      <c r="C142" s="34"/>
      <c r="D142" s="23" t="s">
        <v>12</v>
      </c>
      <c r="E142" s="20">
        <f>66666.67-56666.67</f>
        <v>10000</v>
      </c>
      <c r="F142" s="20">
        <v>8500</v>
      </c>
      <c r="G142" s="20">
        <f>8781</f>
        <v>8781</v>
      </c>
      <c r="H142" s="20"/>
      <c r="I142" s="20"/>
    </row>
    <row r="143" spans="1:9" s="21" customFormat="1" ht="16.2" customHeight="1" x14ac:dyDescent="0.25">
      <c r="A143" s="45">
        <v>16</v>
      </c>
      <c r="B143" s="38" t="s">
        <v>63</v>
      </c>
      <c r="C143" s="32" t="s">
        <v>88</v>
      </c>
      <c r="D143" s="17" t="s">
        <v>13</v>
      </c>
      <c r="E143" s="18">
        <f>SUM(E144:E146)</f>
        <v>0</v>
      </c>
      <c r="F143" s="18">
        <f t="shared" ref="F143:I143" si="55">SUM(F144:F146)</f>
        <v>387779.81999999995</v>
      </c>
      <c r="G143" s="18">
        <f t="shared" si="55"/>
        <v>18466.86</v>
      </c>
      <c r="H143" s="18">
        <f t="shared" si="55"/>
        <v>0</v>
      </c>
      <c r="I143" s="18">
        <f t="shared" si="55"/>
        <v>0</v>
      </c>
    </row>
    <row r="144" spans="1:9" s="21" customFormat="1" ht="16.2" customHeight="1" x14ac:dyDescent="0.25">
      <c r="A144" s="45"/>
      <c r="B144" s="39"/>
      <c r="C144" s="33"/>
      <c r="D144" s="24" t="s">
        <v>7</v>
      </c>
      <c r="E144" s="19"/>
      <c r="F144" s="19"/>
      <c r="G144" s="19"/>
      <c r="H144" s="19"/>
      <c r="I144" s="19"/>
    </row>
    <row r="145" spans="1:12" s="21" customFormat="1" ht="16.2" customHeight="1" x14ac:dyDescent="0.25">
      <c r="A145" s="45"/>
      <c r="B145" s="39"/>
      <c r="C145" s="33"/>
      <c r="D145" s="24" t="s">
        <v>11</v>
      </c>
      <c r="E145" s="19"/>
      <c r="F145" s="19"/>
      <c r="G145" s="19"/>
      <c r="H145" s="19"/>
      <c r="I145" s="19"/>
    </row>
    <row r="146" spans="1:12" s="21" customFormat="1" ht="13.2" x14ac:dyDescent="0.25">
      <c r="A146" s="45"/>
      <c r="B146" s="40"/>
      <c r="C146" s="34"/>
      <c r="D146" s="23" t="s">
        <v>12</v>
      </c>
      <c r="E146" s="20"/>
      <c r="F146" s="20">
        <f>900000-194955.55-194100-103201.19-19963.44</f>
        <v>387779.81999999995</v>
      </c>
      <c r="G146" s="20">
        <f>100000-76128.42-5404.72</f>
        <v>18466.86</v>
      </c>
      <c r="H146" s="20"/>
      <c r="I146" s="20"/>
    </row>
    <row r="147" spans="1:12" x14ac:dyDescent="0.25">
      <c r="A147" s="42" t="s">
        <v>66</v>
      </c>
      <c r="B147" s="43"/>
      <c r="C147" s="43"/>
      <c r="D147" s="43"/>
      <c r="E147" s="43"/>
      <c r="F147" s="43"/>
      <c r="G147" s="43"/>
      <c r="H147" s="43"/>
      <c r="I147" s="44"/>
    </row>
    <row r="148" spans="1:12" x14ac:dyDescent="0.25">
      <c r="A148" s="35">
        <v>17</v>
      </c>
      <c r="B148" s="38" t="s">
        <v>73</v>
      </c>
      <c r="C148" s="32" t="s">
        <v>88</v>
      </c>
      <c r="D148" s="17" t="s">
        <v>13</v>
      </c>
      <c r="E148" s="18">
        <f>SUM(E149:E151)</f>
        <v>0</v>
      </c>
      <c r="F148" s="18">
        <f t="shared" ref="F148:I148" si="56">SUM(F149:F151)</f>
        <v>0</v>
      </c>
      <c r="G148" s="18">
        <f t="shared" si="56"/>
        <v>0</v>
      </c>
      <c r="H148" s="18">
        <f t="shared" si="56"/>
        <v>70310</v>
      </c>
      <c r="I148" s="18">
        <f t="shared" si="56"/>
        <v>78562</v>
      </c>
    </row>
    <row r="149" spans="1:12" x14ac:dyDescent="0.25">
      <c r="A149" s="36"/>
      <c r="B149" s="39"/>
      <c r="C149" s="33"/>
      <c r="D149" s="24" t="s">
        <v>7</v>
      </c>
      <c r="E149" s="19"/>
      <c r="F149" s="19"/>
      <c r="G149" s="19"/>
      <c r="H149" s="19"/>
      <c r="I149" s="19"/>
    </row>
    <row r="150" spans="1:12" x14ac:dyDescent="0.25">
      <c r="A150" s="36"/>
      <c r="B150" s="39"/>
      <c r="C150" s="33"/>
      <c r="D150" s="24" t="s">
        <v>11</v>
      </c>
      <c r="E150" s="19"/>
      <c r="F150" s="19"/>
      <c r="G150" s="19"/>
      <c r="H150" s="19"/>
      <c r="I150" s="19"/>
    </row>
    <row r="151" spans="1:12" x14ac:dyDescent="0.25">
      <c r="A151" s="37"/>
      <c r="B151" s="40"/>
      <c r="C151" s="34"/>
      <c r="D151" s="23" t="s">
        <v>12</v>
      </c>
      <c r="E151" s="20"/>
      <c r="F151" s="20"/>
      <c r="G151" s="20"/>
      <c r="H151" s="20">
        <f>98000-27690</f>
        <v>70310</v>
      </c>
      <c r="I151" s="20">
        <f>100000-100+7000+8400-36738</f>
        <v>78562</v>
      </c>
    </row>
    <row r="152" spans="1:12" s="14" customFormat="1" ht="13.95" customHeight="1" x14ac:dyDescent="0.25">
      <c r="A152" s="52" t="s">
        <v>23</v>
      </c>
      <c r="B152" s="52" t="s">
        <v>24</v>
      </c>
      <c r="C152" s="32" t="s">
        <v>88</v>
      </c>
      <c r="D152" s="12" t="s">
        <v>10</v>
      </c>
      <c r="E152" s="13">
        <f>SUM(E153:E155)</f>
        <v>20440446.030000001</v>
      </c>
      <c r="F152" s="13">
        <f t="shared" ref="F152:H152" si="57">SUM(F153:F155)</f>
        <v>23504429.360000003</v>
      </c>
      <c r="G152" s="13">
        <f t="shared" si="57"/>
        <v>26636870.290000003</v>
      </c>
      <c r="H152" s="13">
        <f t="shared" si="57"/>
        <v>28574755.449999999</v>
      </c>
      <c r="I152" s="13">
        <f t="shared" ref="I152" si="58">SUM(I153:I155)</f>
        <v>31024840.129999995</v>
      </c>
      <c r="K152" s="15"/>
      <c r="L152" s="15"/>
    </row>
    <row r="153" spans="1:12" s="14" customFormat="1" x14ac:dyDescent="0.25">
      <c r="A153" s="53"/>
      <c r="B153" s="53"/>
      <c r="C153" s="33"/>
      <c r="D153" s="26" t="s">
        <v>7</v>
      </c>
      <c r="E153" s="16">
        <f t="shared" ref="E153:H154" si="59">E158+E171+E176+E180+E192+E196+E184</f>
        <v>102836.23</v>
      </c>
      <c r="F153" s="16">
        <f t="shared" si="59"/>
        <v>0</v>
      </c>
      <c r="G153" s="16">
        <f t="shared" si="59"/>
        <v>0</v>
      </c>
      <c r="H153" s="16">
        <f t="shared" si="59"/>
        <v>0</v>
      </c>
      <c r="I153" s="16">
        <f>I158+I171+I176+I180+I192+I196+I184+I162+I166</f>
        <v>0</v>
      </c>
    </row>
    <row r="154" spans="1:12" s="14" customFormat="1" x14ac:dyDescent="0.25">
      <c r="A154" s="53"/>
      <c r="B154" s="53"/>
      <c r="C154" s="33"/>
      <c r="D154" s="26" t="s">
        <v>11</v>
      </c>
      <c r="E154" s="16">
        <f t="shared" si="59"/>
        <v>1356531.29</v>
      </c>
      <c r="F154" s="16">
        <f t="shared" si="59"/>
        <v>4486000</v>
      </c>
      <c r="G154" s="16">
        <f t="shared" si="59"/>
        <v>6395733</v>
      </c>
      <c r="H154" s="16">
        <f t="shared" si="59"/>
        <v>8891289</v>
      </c>
      <c r="I154" s="16">
        <f>I159+I172+I177+I181+I193+I197+I185+I163+I167</f>
        <v>9276426.0899999999</v>
      </c>
    </row>
    <row r="155" spans="1:12" s="14" customFormat="1" x14ac:dyDescent="0.25">
      <c r="A155" s="54"/>
      <c r="B155" s="54"/>
      <c r="C155" s="34"/>
      <c r="D155" s="26" t="s">
        <v>12</v>
      </c>
      <c r="E155" s="16">
        <f>E160+E173+E178+E182+E194+E190+E198+E186</f>
        <v>18981078.510000002</v>
      </c>
      <c r="F155" s="16">
        <f>F160+F173+F178+F182+F194+F190+F198+F186</f>
        <v>19018429.360000003</v>
      </c>
      <c r="G155" s="16">
        <f>G160+G173+G178+G182+G194+G190+G198+G186</f>
        <v>20241137.290000003</v>
      </c>
      <c r="H155" s="16">
        <f>H160+H173+H178+H182+H194+H190+H198+H186</f>
        <v>19683466.449999999</v>
      </c>
      <c r="I155" s="16">
        <f>I160+I173+I178+I182+I194+I190+I198+I186+I164+I168</f>
        <v>21748414.039999995</v>
      </c>
      <c r="L155" s="15"/>
    </row>
    <row r="156" spans="1:12" s="14" customFormat="1" ht="27.6" customHeight="1" x14ac:dyDescent="0.25">
      <c r="A156" s="42" t="s">
        <v>28</v>
      </c>
      <c r="B156" s="43"/>
      <c r="C156" s="43"/>
      <c r="D156" s="43"/>
      <c r="E156" s="43"/>
      <c r="F156" s="43"/>
      <c r="G156" s="43"/>
      <c r="H156" s="43"/>
      <c r="I156" s="44"/>
    </row>
    <row r="157" spans="1:12" ht="29.4" customHeight="1" x14ac:dyDescent="0.25">
      <c r="A157" s="35">
        <v>1</v>
      </c>
      <c r="B157" s="38" t="s">
        <v>43</v>
      </c>
      <c r="C157" s="32" t="s">
        <v>84</v>
      </c>
      <c r="D157" s="17" t="s">
        <v>13</v>
      </c>
      <c r="E157" s="18">
        <f>SUM(E158:E160)</f>
        <v>0</v>
      </c>
      <c r="F157" s="18">
        <f t="shared" ref="F157:I157" si="60">SUM(F158:F160)</f>
        <v>0</v>
      </c>
      <c r="G157" s="18">
        <f t="shared" si="60"/>
        <v>0</v>
      </c>
      <c r="H157" s="18">
        <f t="shared" si="60"/>
        <v>0</v>
      </c>
      <c r="I157" s="18">
        <f t="shared" si="60"/>
        <v>100000</v>
      </c>
    </row>
    <row r="158" spans="1:12" ht="29.4" customHeight="1" x14ac:dyDescent="0.25">
      <c r="A158" s="36"/>
      <c r="B158" s="39"/>
      <c r="C158" s="33"/>
      <c r="D158" s="24" t="s">
        <v>7</v>
      </c>
      <c r="E158" s="19"/>
      <c r="F158" s="19"/>
      <c r="G158" s="19"/>
      <c r="H158" s="19"/>
      <c r="I158" s="19"/>
    </row>
    <row r="159" spans="1:12" ht="29.4" customHeight="1" x14ac:dyDescent="0.25">
      <c r="A159" s="36"/>
      <c r="B159" s="39"/>
      <c r="C159" s="33"/>
      <c r="D159" s="24" t="s">
        <v>11</v>
      </c>
      <c r="E159" s="19"/>
      <c r="F159" s="19"/>
      <c r="G159" s="19"/>
      <c r="H159" s="19"/>
      <c r="I159" s="19"/>
    </row>
    <row r="160" spans="1:12" ht="29.4" customHeight="1" x14ac:dyDescent="0.25">
      <c r="A160" s="37"/>
      <c r="B160" s="40"/>
      <c r="C160" s="34"/>
      <c r="D160" s="23" t="s">
        <v>12</v>
      </c>
      <c r="E160" s="20"/>
      <c r="F160" s="20"/>
      <c r="G160" s="20"/>
      <c r="H160" s="20"/>
      <c r="I160" s="20">
        <f>100000</f>
        <v>100000</v>
      </c>
    </row>
    <row r="161" spans="1:9" ht="15" customHeight="1" x14ac:dyDescent="0.25">
      <c r="A161" s="35">
        <v>2</v>
      </c>
      <c r="B161" s="38" t="s">
        <v>83</v>
      </c>
      <c r="C161" s="32" t="s">
        <v>85</v>
      </c>
      <c r="D161" s="17" t="s">
        <v>13</v>
      </c>
      <c r="E161" s="18">
        <f>SUM(E162:E164)</f>
        <v>0</v>
      </c>
      <c r="F161" s="18">
        <f t="shared" ref="F161:I161" si="61">SUM(F162:F164)</f>
        <v>0</v>
      </c>
      <c r="G161" s="18">
        <f t="shared" si="61"/>
        <v>0</v>
      </c>
      <c r="H161" s="18">
        <f t="shared" si="61"/>
        <v>0</v>
      </c>
      <c r="I161" s="18">
        <f t="shared" si="61"/>
        <v>157616</v>
      </c>
    </row>
    <row r="162" spans="1:9" x14ac:dyDescent="0.25">
      <c r="A162" s="36"/>
      <c r="B162" s="39"/>
      <c r="C162" s="33"/>
      <c r="D162" s="29" t="s">
        <v>7</v>
      </c>
      <c r="E162" s="19"/>
      <c r="F162" s="19"/>
      <c r="G162" s="19"/>
      <c r="H162" s="19"/>
      <c r="I162" s="19"/>
    </row>
    <row r="163" spans="1:9" x14ac:dyDescent="0.25">
      <c r="A163" s="36"/>
      <c r="B163" s="39"/>
      <c r="C163" s="33"/>
      <c r="D163" s="29" t="s">
        <v>11</v>
      </c>
      <c r="E163" s="19"/>
      <c r="F163" s="19"/>
      <c r="G163" s="19"/>
      <c r="H163" s="19"/>
      <c r="I163" s="19">
        <v>141854</v>
      </c>
    </row>
    <row r="164" spans="1:9" x14ac:dyDescent="0.25">
      <c r="A164" s="37"/>
      <c r="B164" s="40"/>
      <c r="C164" s="34"/>
      <c r="D164" s="30" t="s">
        <v>12</v>
      </c>
      <c r="E164" s="20"/>
      <c r="F164" s="20"/>
      <c r="G164" s="20"/>
      <c r="H164" s="20"/>
      <c r="I164" s="20">
        <v>15762</v>
      </c>
    </row>
    <row r="165" spans="1:9" x14ac:dyDescent="0.25">
      <c r="A165" s="35">
        <v>3</v>
      </c>
      <c r="B165" s="38" t="s">
        <v>87</v>
      </c>
      <c r="C165" s="32" t="s">
        <v>86</v>
      </c>
      <c r="D165" s="17" t="s">
        <v>13</v>
      </c>
      <c r="E165" s="18">
        <f>SUM(E166:E168)</f>
        <v>0</v>
      </c>
      <c r="F165" s="18">
        <f t="shared" ref="F165:I165" si="62">SUM(F166:F168)</f>
        <v>0</v>
      </c>
      <c r="G165" s="18">
        <f t="shared" si="62"/>
        <v>0</v>
      </c>
      <c r="H165" s="18">
        <f t="shared" si="62"/>
        <v>0</v>
      </c>
      <c r="I165" s="18">
        <f t="shared" si="62"/>
        <v>1834930</v>
      </c>
    </row>
    <row r="166" spans="1:9" x14ac:dyDescent="0.25">
      <c r="A166" s="36"/>
      <c r="B166" s="39"/>
      <c r="C166" s="33"/>
      <c r="D166" s="29" t="s">
        <v>7</v>
      </c>
      <c r="E166" s="19"/>
      <c r="F166" s="19"/>
      <c r="G166" s="19"/>
      <c r="H166" s="19"/>
      <c r="I166" s="19"/>
    </row>
    <row r="167" spans="1:9" x14ac:dyDescent="0.25">
      <c r="A167" s="36"/>
      <c r="B167" s="39"/>
      <c r="C167" s="33"/>
      <c r="D167" s="29" t="s">
        <v>11</v>
      </c>
      <c r="E167" s="19"/>
      <c r="F167" s="19"/>
      <c r="G167" s="19"/>
      <c r="H167" s="19"/>
      <c r="I167" s="19">
        <f>1039437+646000</f>
        <v>1685437</v>
      </c>
    </row>
    <row r="168" spans="1:9" x14ac:dyDescent="0.25">
      <c r="A168" s="37"/>
      <c r="B168" s="40"/>
      <c r="C168" s="34"/>
      <c r="D168" s="30" t="s">
        <v>12</v>
      </c>
      <c r="E168" s="20"/>
      <c r="F168" s="20"/>
      <c r="G168" s="20"/>
      <c r="H168" s="20"/>
      <c r="I168" s="20">
        <f>115493+34000</f>
        <v>149493</v>
      </c>
    </row>
    <row r="169" spans="1:9" x14ac:dyDescent="0.25">
      <c r="A169" s="46" t="s">
        <v>29</v>
      </c>
      <c r="B169" s="47"/>
      <c r="C169" s="47"/>
      <c r="D169" s="47"/>
      <c r="E169" s="47"/>
      <c r="F169" s="47"/>
      <c r="G169" s="47"/>
      <c r="H169" s="47"/>
      <c r="I169" s="48"/>
    </row>
    <row r="170" spans="1:9" ht="16.95" customHeight="1" x14ac:dyDescent="0.25">
      <c r="A170" s="35">
        <v>4</v>
      </c>
      <c r="B170" s="38" t="s">
        <v>30</v>
      </c>
      <c r="C170" s="32" t="s">
        <v>88</v>
      </c>
      <c r="D170" s="17" t="s">
        <v>13</v>
      </c>
      <c r="E170" s="18">
        <f>SUM(E171:E173)</f>
        <v>580192.19999999995</v>
      </c>
      <c r="F170" s="18">
        <f t="shared" ref="F170:I170" si="63">SUM(F171:F173)</f>
        <v>0</v>
      </c>
      <c r="G170" s="18">
        <f t="shared" si="63"/>
        <v>0</v>
      </c>
      <c r="H170" s="18">
        <f t="shared" si="63"/>
        <v>0</v>
      </c>
      <c r="I170" s="18">
        <f t="shared" si="63"/>
        <v>0</v>
      </c>
    </row>
    <row r="171" spans="1:9" ht="16.95" customHeight="1" x14ac:dyDescent="0.25">
      <c r="A171" s="36"/>
      <c r="B171" s="39"/>
      <c r="C171" s="33"/>
      <c r="D171" s="24" t="s">
        <v>7</v>
      </c>
      <c r="E171" s="19">
        <v>102836.23</v>
      </c>
      <c r="F171" s="19"/>
      <c r="G171" s="19"/>
      <c r="H171" s="19"/>
      <c r="I171" s="19"/>
    </row>
    <row r="172" spans="1:9" ht="16.95" customHeight="1" x14ac:dyDescent="0.25">
      <c r="A172" s="36"/>
      <c r="B172" s="39"/>
      <c r="C172" s="33"/>
      <c r="D172" s="24" t="s">
        <v>11</v>
      </c>
      <c r="E172" s="19">
        <v>209431.29</v>
      </c>
      <c r="F172" s="19"/>
      <c r="G172" s="19"/>
      <c r="H172" s="19"/>
      <c r="I172" s="19"/>
    </row>
    <row r="173" spans="1:9" ht="16.95" customHeight="1" x14ac:dyDescent="0.25">
      <c r="A173" s="37"/>
      <c r="B173" s="40"/>
      <c r="C173" s="34"/>
      <c r="D173" s="23" t="s">
        <v>12</v>
      </c>
      <c r="E173" s="20">
        <f>333600-65675.32</f>
        <v>267924.68</v>
      </c>
      <c r="F173" s="20">
        <v>0</v>
      </c>
      <c r="G173" s="20"/>
      <c r="H173" s="20"/>
      <c r="I173" s="20"/>
    </row>
    <row r="174" spans="1:9" x14ac:dyDescent="0.25">
      <c r="A174" s="46" t="s">
        <v>31</v>
      </c>
      <c r="B174" s="47"/>
      <c r="C174" s="47"/>
      <c r="D174" s="47"/>
      <c r="E174" s="47"/>
      <c r="F174" s="47"/>
      <c r="G174" s="47"/>
      <c r="H174" s="47"/>
      <c r="I174" s="48"/>
    </row>
    <row r="175" spans="1:9" x14ac:dyDescent="0.25">
      <c r="A175" s="35">
        <v>5</v>
      </c>
      <c r="B175" s="38" t="s">
        <v>32</v>
      </c>
      <c r="C175" s="32" t="s">
        <v>88</v>
      </c>
      <c r="D175" s="17" t="s">
        <v>13</v>
      </c>
      <c r="E175" s="18">
        <f>SUM(E176:E178)</f>
        <v>18701566.960000001</v>
      </c>
      <c r="F175" s="18">
        <f t="shared" ref="F175:I175" si="64">SUM(F176:F178)</f>
        <v>18517906.75</v>
      </c>
      <c r="G175" s="18">
        <f t="shared" si="64"/>
        <v>19438801.510000002</v>
      </c>
      <c r="H175" s="18">
        <f t="shared" si="64"/>
        <v>18214184.32</v>
      </c>
      <c r="I175" s="18">
        <f t="shared" si="64"/>
        <v>19611510.819999997</v>
      </c>
    </row>
    <row r="176" spans="1:9" x14ac:dyDescent="0.25">
      <c r="A176" s="36"/>
      <c r="B176" s="39"/>
      <c r="C176" s="33"/>
      <c r="D176" s="24" t="s">
        <v>7</v>
      </c>
      <c r="E176" s="19"/>
      <c r="F176" s="19"/>
      <c r="G176" s="19"/>
      <c r="H176" s="19"/>
      <c r="I176" s="19"/>
    </row>
    <row r="177" spans="1:9" x14ac:dyDescent="0.25">
      <c r="A177" s="36"/>
      <c r="B177" s="39"/>
      <c r="C177" s="33"/>
      <c r="D177" s="24" t="s">
        <v>11</v>
      </c>
      <c r="E177" s="19"/>
      <c r="F177" s="19"/>
      <c r="G177" s="19"/>
      <c r="H177" s="19"/>
      <c r="I177" s="19"/>
    </row>
    <row r="178" spans="1:9" x14ac:dyDescent="0.25">
      <c r="A178" s="37"/>
      <c r="B178" s="40"/>
      <c r="C178" s="34"/>
      <c r="D178" s="23" t="s">
        <v>12</v>
      </c>
      <c r="E178" s="20">
        <f>19807473-480000-625906.04</f>
        <v>18701566.960000001</v>
      </c>
      <c r="F178" s="20">
        <f>19200000-500000-3823.23+592127.88+61600-831997.9</f>
        <v>18517906.75</v>
      </c>
      <c r="G178" s="20">
        <f>22213500-142936.72-1827064.18-1008407.06+203709.47</f>
        <v>19438801.510000002</v>
      </c>
      <c r="H178" s="20">
        <f>16768159.93+22000+20000+998355.59-69761.61+57573.74-104467.13+208934.26+313389.54</f>
        <v>18214184.32</v>
      </c>
      <c r="I178" s="20">
        <f>15087557.85+589423.35+2332331.42-548142-260400-1484280+1433000+180000+93000-17100+1450000+756120.2</f>
        <v>19611510.819999997</v>
      </c>
    </row>
    <row r="179" spans="1:9" ht="19.95" customHeight="1" x14ac:dyDescent="0.25">
      <c r="A179" s="35">
        <v>6</v>
      </c>
      <c r="B179" s="38" t="s">
        <v>50</v>
      </c>
      <c r="C179" s="32" t="s">
        <v>88</v>
      </c>
      <c r="D179" s="17" t="s">
        <v>13</v>
      </c>
      <c r="E179" s="18">
        <f>SUM(E180:E182)</f>
        <v>1158686.8700000001</v>
      </c>
      <c r="F179" s="18">
        <f t="shared" ref="F179:I179" si="65">SUM(F180:F182)</f>
        <v>1905050.5</v>
      </c>
      <c r="G179" s="18">
        <f t="shared" si="65"/>
        <v>3127878.78</v>
      </c>
      <c r="H179" s="18">
        <f t="shared" si="65"/>
        <v>5691313.1299999999</v>
      </c>
      <c r="I179" s="18">
        <f t="shared" si="65"/>
        <v>5691313.1299999999</v>
      </c>
    </row>
    <row r="180" spans="1:9" ht="19.95" customHeight="1" x14ac:dyDescent="0.25">
      <c r="A180" s="36"/>
      <c r="B180" s="39"/>
      <c r="C180" s="33"/>
      <c r="D180" s="24" t="s">
        <v>7</v>
      </c>
      <c r="E180" s="19"/>
      <c r="F180" s="19"/>
      <c r="G180" s="19"/>
      <c r="H180" s="19"/>
      <c r="I180" s="19"/>
    </row>
    <row r="181" spans="1:9" ht="19.95" customHeight="1" x14ac:dyDescent="0.25">
      <c r="A181" s="36"/>
      <c r="B181" s="39"/>
      <c r="C181" s="33"/>
      <c r="D181" s="24" t="s">
        <v>11</v>
      </c>
      <c r="E181" s="19">
        <v>1147100</v>
      </c>
      <c r="F181" s="19">
        <f>1507500+378500</f>
        <v>1886000</v>
      </c>
      <c r="G181" s="19">
        <f>2264300+832300</f>
        <v>3096600</v>
      </c>
      <c r="H181" s="19">
        <f>3096600+6906400-5699800+1331200</f>
        <v>5634400</v>
      </c>
      <c r="I181" s="19">
        <f>5634400</f>
        <v>5634400</v>
      </c>
    </row>
    <row r="182" spans="1:9" ht="19.95" customHeight="1" x14ac:dyDescent="0.25">
      <c r="A182" s="37"/>
      <c r="B182" s="40"/>
      <c r="C182" s="34"/>
      <c r="D182" s="23" t="s">
        <v>12</v>
      </c>
      <c r="E182" s="20">
        <v>11586.87</v>
      </c>
      <c r="F182" s="20">
        <f>15227.27+3823.23</f>
        <v>19050.5</v>
      </c>
      <c r="G182" s="20">
        <f>22871.72+8407.06</f>
        <v>31278.78</v>
      </c>
      <c r="H182" s="20">
        <f>31278.79+69761.61-57573.74+13446.47</f>
        <v>56913.13</v>
      </c>
      <c r="I182" s="20">
        <f>56913.13</f>
        <v>56913.13</v>
      </c>
    </row>
    <row r="183" spans="1:9" x14ac:dyDescent="0.25">
      <c r="A183" s="35">
        <v>7</v>
      </c>
      <c r="B183" s="38" t="s">
        <v>69</v>
      </c>
      <c r="C183" s="32" t="s">
        <v>88</v>
      </c>
      <c r="D183" s="17" t="s">
        <v>13</v>
      </c>
      <c r="E183" s="18">
        <f>SUM(E184:E186)</f>
        <v>0</v>
      </c>
      <c r="F183" s="18">
        <f t="shared" ref="F183:I183" si="66">SUM(F184:F186)</f>
        <v>0</v>
      </c>
      <c r="G183" s="18">
        <f t="shared" si="66"/>
        <v>2570190</v>
      </c>
      <c r="H183" s="18">
        <f t="shared" si="66"/>
        <v>4669258</v>
      </c>
      <c r="I183" s="18">
        <f t="shared" si="66"/>
        <v>3629470.18</v>
      </c>
    </row>
    <row r="184" spans="1:9" x14ac:dyDescent="0.25">
      <c r="A184" s="36"/>
      <c r="B184" s="39"/>
      <c r="C184" s="33"/>
      <c r="D184" s="24" t="s">
        <v>7</v>
      </c>
      <c r="E184" s="19"/>
      <c r="F184" s="19"/>
      <c r="G184" s="19"/>
      <c r="H184" s="19"/>
      <c r="I184" s="19"/>
    </row>
    <row r="185" spans="1:9" x14ac:dyDescent="0.25">
      <c r="A185" s="36"/>
      <c r="B185" s="39"/>
      <c r="C185" s="33"/>
      <c r="D185" s="24" t="s">
        <v>11</v>
      </c>
      <c r="E185" s="19"/>
      <c r="F185" s="19"/>
      <c r="G185" s="19">
        <f>1799133</f>
        <v>1799133</v>
      </c>
      <c r="H185" s="19">
        <f>2014683.5-11500-2000-1300-40000+1297005.5</f>
        <v>3256889</v>
      </c>
      <c r="I185" s="19">
        <f>2547901-66001-700000+32835.09</f>
        <v>1814735.09</v>
      </c>
    </row>
    <row r="186" spans="1:9" x14ac:dyDescent="0.25">
      <c r="A186" s="37"/>
      <c r="B186" s="40"/>
      <c r="C186" s="34"/>
      <c r="D186" s="23" t="s">
        <v>12</v>
      </c>
      <c r="E186" s="20"/>
      <c r="F186" s="20"/>
      <c r="G186" s="20">
        <f>771057</f>
        <v>771057</v>
      </c>
      <c r="H186" s="20">
        <f>911309.5-11500-2000-1300-40000+555859.5</f>
        <v>1412369</v>
      </c>
      <c r="I186" s="20">
        <f>2547901-66001-700000+32835.09</f>
        <v>1814735.09</v>
      </c>
    </row>
    <row r="187" spans="1:9" x14ac:dyDescent="0.25">
      <c r="A187" s="35">
        <v>8</v>
      </c>
      <c r="B187" s="38" t="s">
        <v>70</v>
      </c>
      <c r="C187" s="32" t="s">
        <v>88</v>
      </c>
      <c r="D187" s="17" t="s">
        <v>13</v>
      </c>
      <c r="E187" s="18">
        <f>SUM(E188:E190)</f>
        <v>0</v>
      </c>
      <c r="F187" s="18">
        <f t="shared" ref="F187:I187" si="67">SUM(F188:F190)</f>
        <v>414805.44</v>
      </c>
      <c r="G187" s="18">
        <f t="shared" si="67"/>
        <v>0</v>
      </c>
      <c r="H187" s="18">
        <f t="shared" si="67"/>
        <v>0</v>
      </c>
      <c r="I187" s="18">
        <f t="shared" si="67"/>
        <v>0</v>
      </c>
    </row>
    <row r="188" spans="1:9" x14ac:dyDescent="0.25">
      <c r="A188" s="36"/>
      <c r="B188" s="39"/>
      <c r="C188" s="33"/>
      <c r="D188" s="24" t="s">
        <v>7</v>
      </c>
      <c r="E188" s="19"/>
      <c r="F188" s="19"/>
      <c r="G188" s="19"/>
      <c r="H188" s="19"/>
      <c r="I188" s="19"/>
    </row>
    <row r="189" spans="1:9" x14ac:dyDescent="0.25">
      <c r="A189" s="36"/>
      <c r="B189" s="39"/>
      <c r="C189" s="33"/>
      <c r="D189" s="24" t="s">
        <v>11</v>
      </c>
      <c r="E189" s="19"/>
      <c r="F189" s="19"/>
      <c r="G189" s="19"/>
      <c r="H189" s="19"/>
      <c r="I189" s="19"/>
    </row>
    <row r="190" spans="1:9" x14ac:dyDescent="0.25">
      <c r="A190" s="37"/>
      <c r="B190" s="40"/>
      <c r="C190" s="34"/>
      <c r="D190" s="23" t="s">
        <v>12</v>
      </c>
      <c r="E190" s="20"/>
      <c r="F190" s="20">
        <v>414805.44</v>
      </c>
      <c r="G190" s="20"/>
      <c r="H190" s="20"/>
      <c r="I190" s="20"/>
    </row>
    <row r="191" spans="1:9" x14ac:dyDescent="0.25">
      <c r="A191" s="35">
        <v>9</v>
      </c>
      <c r="B191" s="38" t="s">
        <v>71</v>
      </c>
      <c r="C191" s="32" t="s">
        <v>88</v>
      </c>
      <c r="D191" s="17" t="s">
        <v>13</v>
      </c>
      <c r="E191" s="18">
        <f>SUM(E192:E194)</f>
        <v>0</v>
      </c>
      <c r="F191" s="18">
        <f t="shared" ref="F191:I191" si="68">SUM(F192:F194)</f>
        <v>666666.67000000004</v>
      </c>
      <c r="G191" s="18">
        <f t="shared" si="68"/>
        <v>0</v>
      </c>
      <c r="H191" s="18">
        <f t="shared" si="68"/>
        <v>0</v>
      </c>
      <c r="I191" s="18">
        <f t="shared" si="68"/>
        <v>0</v>
      </c>
    </row>
    <row r="192" spans="1:9" x14ac:dyDescent="0.25">
      <c r="A192" s="36"/>
      <c r="B192" s="39"/>
      <c r="C192" s="33"/>
      <c r="D192" s="24" t="s">
        <v>7</v>
      </c>
      <c r="E192" s="19"/>
      <c r="F192" s="19"/>
      <c r="G192" s="19"/>
      <c r="H192" s="19"/>
      <c r="I192" s="19"/>
    </row>
    <row r="193" spans="1:12" x14ac:dyDescent="0.25">
      <c r="A193" s="36"/>
      <c r="B193" s="39"/>
      <c r="C193" s="33"/>
      <c r="D193" s="24" t="s">
        <v>11</v>
      </c>
      <c r="E193" s="19"/>
      <c r="F193" s="19">
        <v>600000</v>
      </c>
      <c r="G193" s="19"/>
      <c r="H193" s="19"/>
      <c r="I193" s="19"/>
    </row>
    <row r="194" spans="1:12" x14ac:dyDescent="0.25">
      <c r="A194" s="37"/>
      <c r="B194" s="40"/>
      <c r="C194" s="34"/>
      <c r="D194" s="23" t="s">
        <v>12</v>
      </c>
      <c r="E194" s="20"/>
      <c r="F194" s="20">
        <v>66666.67</v>
      </c>
      <c r="G194" s="20"/>
      <c r="H194" s="20"/>
      <c r="I194" s="20"/>
    </row>
    <row r="195" spans="1:12" ht="16.95" customHeight="1" x14ac:dyDescent="0.25">
      <c r="A195" s="35">
        <v>10</v>
      </c>
      <c r="B195" s="38" t="s">
        <v>72</v>
      </c>
      <c r="C195" s="32" t="s">
        <v>88</v>
      </c>
      <c r="D195" s="17" t="s">
        <v>13</v>
      </c>
      <c r="E195" s="18">
        <f>SUM(E196:E198)</f>
        <v>0</v>
      </c>
      <c r="F195" s="18">
        <f t="shared" ref="F195:I195" si="69">SUM(F196:F198)</f>
        <v>2000000</v>
      </c>
      <c r="G195" s="18">
        <f t="shared" si="69"/>
        <v>1500000</v>
      </c>
      <c r="H195" s="18">
        <f t="shared" si="69"/>
        <v>0</v>
      </c>
      <c r="I195" s="18">
        <f t="shared" si="69"/>
        <v>0</v>
      </c>
    </row>
    <row r="196" spans="1:12" ht="16.95" customHeight="1" x14ac:dyDescent="0.25">
      <c r="A196" s="36"/>
      <c r="B196" s="39"/>
      <c r="C196" s="33"/>
      <c r="D196" s="24" t="s">
        <v>7</v>
      </c>
      <c r="E196" s="19"/>
      <c r="F196" s="19"/>
      <c r="G196" s="19"/>
      <c r="H196" s="19"/>
      <c r="I196" s="19"/>
    </row>
    <row r="197" spans="1:12" ht="16.95" customHeight="1" x14ac:dyDescent="0.25">
      <c r="A197" s="36"/>
      <c r="B197" s="39"/>
      <c r="C197" s="33"/>
      <c r="D197" s="24" t="s">
        <v>11</v>
      </c>
      <c r="E197" s="19"/>
      <c r="F197" s="19">
        <v>2000000</v>
      </c>
      <c r="G197" s="19">
        <v>1500000</v>
      </c>
      <c r="H197" s="19"/>
      <c r="I197" s="19"/>
    </row>
    <row r="198" spans="1:12" ht="16.95" customHeight="1" x14ac:dyDescent="0.25">
      <c r="A198" s="37"/>
      <c r="B198" s="40"/>
      <c r="C198" s="34"/>
      <c r="D198" s="23" t="s">
        <v>12</v>
      </c>
      <c r="E198" s="20"/>
      <c r="F198" s="20"/>
      <c r="G198" s="20"/>
      <c r="H198" s="20"/>
      <c r="I198" s="20"/>
    </row>
    <row r="199" spans="1:12" s="14" customFormat="1" ht="13.95" customHeight="1" x14ac:dyDescent="0.25">
      <c r="A199" s="52" t="s">
        <v>25</v>
      </c>
      <c r="B199" s="52" t="s">
        <v>26</v>
      </c>
      <c r="C199" s="32" t="s">
        <v>88</v>
      </c>
      <c r="D199" s="12" t="s">
        <v>10</v>
      </c>
      <c r="E199" s="13">
        <f>SUM(E200:E202)</f>
        <v>1114196.5</v>
      </c>
      <c r="F199" s="13">
        <f t="shared" ref="F199:I199" si="70">SUM(F200:F202)</f>
        <v>1051770.44</v>
      </c>
      <c r="G199" s="13">
        <f t="shared" si="70"/>
        <v>1052711.3900000001</v>
      </c>
      <c r="H199" s="13">
        <f t="shared" si="70"/>
        <v>867635.60000000009</v>
      </c>
      <c r="I199" s="13">
        <f t="shared" si="70"/>
        <v>858249.23</v>
      </c>
      <c r="K199" s="15"/>
      <c r="L199" s="15"/>
    </row>
    <row r="200" spans="1:12" s="14" customFormat="1" x14ac:dyDescent="0.25">
      <c r="A200" s="53"/>
      <c r="B200" s="53"/>
      <c r="C200" s="33"/>
      <c r="D200" s="26" t="s">
        <v>7</v>
      </c>
      <c r="E200" s="16">
        <f>E205+E209+E217</f>
        <v>0</v>
      </c>
      <c r="F200" s="16">
        <f t="shared" ref="F200:G200" si="71">F205+F209+F217</f>
        <v>0</v>
      </c>
      <c r="G200" s="16">
        <f t="shared" si="71"/>
        <v>0</v>
      </c>
      <c r="H200" s="16">
        <f t="shared" ref="H200" si="72">H205+H209+H217</f>
        <v>0</v>
      </c>
      <c r="I200" s="16"/>
    </row>
    <row r="201" spans="1:12" s="14" customFormat="1" x14ac:dyDescent="0.25">
      <c r="A201" s="53"/>
      <c r="B201" s="53"/>
      <c r="C201" s="33"/>
      <c r="D201" s="26" t="s">
        <v>11</v>
      </c>
      <c r="E201" s="16">
        <f t="shared" ref="E201:G202" si="73">E206+E210+E218</f>
        <v>558281.1</v>
      </c>
      <c r="F201" s="16">
        <f t="shared" si="73"/>
        <v>545232.27</v>
      </c>
      <c r="G201" s="16">
        <f t="shared" si="73"/>
        <v>532056.83000000007</v>
      </c>
      <c r="H201" s="16">
        <f t="shared" ref="H201:I201" si="74">H206+H210+H218</f>
        <v>520581.36000000004</v>
      </c>
      <c r="I201" s="16">
        <f t="shared" si="74"/>
        <v>514949.54</v>
      </c>
    </row>
    <row r="202" spans="1:12" s="14" customFormat="1" x14ac:dyDescent="0.25">
      <c r="A202" s="54"/>
      <c r="B202" s="54"/>
      <c r="C202" s="34"/>
      <c r="D202" s="26" t="s">
        <v>12</v>
      </c>
      <c r="E202" s="16">
        <f t="shared" si="73"/>
        <v>555915.39999999991</v>
      </c>
      <c r="F202" s="16">
        <f t="shared" si="73"/>
        <v>506538.17</v>
      </c>
      <c r="G202" s="16">
        <f t="shared" si="73"/>
        <v>520654.56</v>
      </c>
      <c r="H202" s="16">
        <f t="shared" ref="H202:I202" si="75">H207+H211+H219</f>
        <v>347054.24</v>
      </c>
      <c r="I202" s="16">
        <f t="shared" si="75"/>
        <v>343299.69</v>
      </c>
      <c r="J202" s="15"/>
      <c r="L202" s="15"/>
    </row>
    <row r="203" spans="1:12" s="14" customFormat="1" x14ac:dyDescent="0.25">
      <c r="A203" s="42" t="s">
        <v>27</v>
      </c>
      <c r="B203" s="43"/>
      <c r="C203" s="43"/>
      <c r="D203" s="43"/>
      <c r="E203" s="43"/>
      <c r="F203" s="43"/>
      <c r="G203" s="43"/>
      <c r="H203" s="43"/>
      <c r="I203" s="44"/>
    </row>
    <row r="204" spans="1:12" s="14" customFormat="1" x14ac:dyDescent="0.25">
      <c r="A204" s="35">
        <v>1</v>
      </c>
      <c r="B204" s="38" t="s">
        <v>44</v>
      </c>
      <c r="C204" s="32" t="s">
        <v>88</v>
      </c>
      <c r="D204" s="17" t="s">
        <v>13</v>
      </c>
      <c r="E204" s="18">
        <f>SUM(E205:E207)</f>
        <v>49200</v>
      </c>
      <c r="F204" s="18">
        <f t="shared" ref="F204:I204" si="76">SUM(F205:F207)</f>
        <v>0</v>
      </c>
      <c r="G204" s="18">
        <f t="shared" si="76"/>
        <v>20000</v>
      </c>
      <c r="H204" s="18">
        <f t="shared" si="76"/>
        <v>0</v>
      </c>
      <c r="I204" s="18">
        <f t="shared" si="76"/>
        <v>0</v>
      </c>
    </row>
    <row r="205" spans="1:12" s="14" customFormat="1" x14ac:dyDescent="0.25">
      <c r="A205" s="36"/>
      <c r="B205" s="39"/>
      <c r="C205" s="33"/>
      <c r="D205" s="24" t="s">
        <v>7</v>
      </c>
      <c r="E205" s="19"/>
      <c r="F205" s="19"/>
      <c r="G205" s="19"/>
      <c r="H205" s="19"/>
      <c r="I205" s="19"/>
    </row>
    <row r="206" spans="1:12" s="14" customFormat="1" x14ac:dyDescent="0.25">
      <c r="A206" s="36"/>
      <c r="B206" s="39"/>
      <c r="C206" s="33"/>
      <c r="D206" s="24" t="s">
        <v>11</v>
      </c>
      <c r="E206" s="19"/>
      <c r="F206" s="19"/>
      <c r="G206" s="19"/>
      <c r="H206" s="19"/>
      <c r="I206" s="19"/>
    </row>
    <row r="207" spans="1:12" s="14" customFormat="1" x14ac:dyDescent="0.25">
      <c r="A207" s="36"/>
      <c r="B207" s="40"/>
      <c r="C207" s="34"/>
      <c r="D207" s="23" t="s">
        <v>12</v>
      </c>
      <c r="E207" s="19">
        <f>20000+29200</f>
        <v>49200</v>
      </c>
      <c r="F207" s="19"/>
      <c r="G207" s="20">
        <f>20000</f>
        <v>20000</v>
      </c>
      <c r="H207" s="20"/>
      <c r="I207" s="20"/>
    </row>
    <row r="208" spans="1:12" x14ac:dyDescent="0.25">
      <c r="A208" s="35">
        <v>2</v>
      </c>
      <c r="B208" s="38" t="s">
        <v>46</v>
      </c>
      <c r="C208" s="32" t="s">
        <v>88</v>
      </c>
      <c r="D208" s="17" t="s">
        <v>13</v>
      </c>
      <c r="E208" s="18">
        <f>SUM(E209:E211)</f>
        <v>930468.5</v>
      </c>
      <c r="F208" s="18">
        <f t="shared" ref="F208:I208" si="77">SUM(F209:F211)</f>
        <v>908720.44</v>
      </c>
      <c r="G208" s="18">
        <f t="shared" si="77"/>
        <v>886761.39000000013</v>
      </c>
      <c r="H208" s="18">
        <f t="shared" si="77"/>
        <v>867635.60000000009</v>
      </c>
      <c r="I208" s="18">
        <f t="shared" si="77"/>
        <v>858249.23</v>
      </c>
    </row>
    <row r="209" spans="1:11" x14ac:dyDescent="0.25">
      <c r="A209" s="36"/>
      <c r="B209" s="39"/>
      <c r="C209" s="33"/>
      <c r="D209" s="24" t="s">
        <v>7</v>
      </c>
      <c r="E209" s="19"/>
      <c r="F209" s="19"/>
      <c r="G209" s="19"/>
      <c r="H209" s="19"/>
      <c r="I209" s="19"/>
    </row>
    <row r="210" spans="1:11" x14ac:dyDescent="0.25">
      <c r="A210" s="36"/>
      <c r="B210" s="39"/>
      <c r="C210" s="33"/>
      <c r="D210" s="24" t="s">
        <v>11</v>
      </c>
      <c r="E210" s="19">
        <f>E214</f>
        <v>558281.1</v>
      </c>
      <c r="F210" s="19">
        <f t="shared" ref="F210" si="78">F214</f>
        <v>545232.27</v>
      </c>
      <c r="G210" s="19">
        <f t="shared" ref="G210" si="79">G214</f>
        <v>532056.83000000007</v>
      </c>
      <c r="H210" s="19">
        <f t="shared" ref="H210:I210" si="80">H214</f>
        <v>520581.36000000004</v>
      </c>
      <c r="I210" s="19">
        <f t="shared" si="80"/>
        <v>514949.54</v>
      </c>
    </row>
    <row r="211" spans="1:11" x14ac:dyDescent="0.25">
      <c r="A211" s="36"/>
      <c r="B211" s="39"/>
      <c r="C211" s="34"/>
      <c r="D211" s="23" t="s">
        <v>12</v>
      </c>
      <c r="E211" s="20">
        <f>E215</f>
        <v>372187.39999999997</v>
      </c>
      <c r="F211" s="20">
        <f t="shared" ref="F211" si="81">F215</f>
        <v>363488.17</v>
      </c>
      <c r="G211" s="20">
        <f t="shared" ref="G211" si="82">G215</f>
        <v>354704.56</v>
      </c>
      <c r="H211" s="20">
        <f t="shared" ref="H211:I211" si="83">H215</f>
        <v>347054.24</v>
      </c>
      <c r="I211" s="20">
        <f t="shared" si="83"/>
        <v>343299.69</v>
      </c>
      <c r="K211" s="22"/>
    </row>
    <row r="212" spans="1:11" x14ac:dyDescent="0.25">
      <c r="A212" s="49" t="s">
        <v>45</v>
      </c>
      <c r="B212" s="38" t="s">
        <v>47</v>
      </c>
      <c r="C212" s="32" t="s">
        <v>88</v>
      </c>
      <c r="D212" s="17" t="s">
        <v>13</v>
      </c>
      <c r="E212" s="18">
        <f>SUM(E213:E215)</f>
        <v>930468.5</v>
      </c>
      <c r="F212" s="18">
        <f t="shared" ref="F212:I212" si="84">SUM(F213:F215)</f>
        <v>908720.44</v>
      </c>
      <c r="G212" s="18">
        <f t="shared" si="84"/>
        <v>886761.39000000013</v>
      </c>
      <c r="H212" s="18">
        <f t="shared" si="84"/>
        <v>867635.60000000009</v>
      </c>
      <c r="I212" s="18">
        <f t="shared" si="84"/>
        <v>858249.23</v>
      </c>
      <c r="K212" s="22"/>
    </row>
    <row r="213" spans="1:11" x14ac:dyDescent="0.25">
      <c r="A213" s="50"/>
      <c r="B213" s="39"/>
      <c r="C213" s="33"/>
      <c r="D213" s="24" t="s">
        <v>7</v>
      </c>
      <c r="E213" s="19"/>
      <c r="F213" s="19"/>
      <c r="G213" s="19"/>
      <c r="H213" s="19"/>
      <c r="I213" s="19"/>
      <c r="K213" s="22"/>
    </row>
    <row r="214" spans="1:11" x14ac:dyDescent="0.25">
      <c r="A214" s="50"/>
      <c r="B214" s="39"/>
      <c r="C214" s="33"/>
      <c r="D214" s="24" t="s">
        <v>11</v>
      </c>
      <c r="E214" s="19">
        <f>683500-113521.9-11697</f>
        <v>558281.1</v>
      </c>
      <c r="F214" s="19">
        <f>489381.1+55851.17</f>
        <v>545232.27</v>
      </c>
      <c r="G214" s="19">
        <f>542732.27-10675.44</f>
        <v>532056.83000000007</v>
      </c>
      <c r="H214" s="19">
        <f>515656.83+4924.53</f>
        <v>520581.36000000004</v>
      </c>
      <c r="I214" s="19">
        <f>521581.36-6631.82</f>
        <v>514949.54</v>
      </c>
      <c r="K214" s="22"/>
    </row>
    <row r="215" spans="1:11" x14ac:dyDescent="0.25">
      <c r="A215" s="51"/>
      <c r="B215" s="40"/>
      <c r="C215" s="34"/>
      <c r="D215" s="23" t="s">
        <v>12</v>
      </c>
      <c r="E215" s="19">
        <f>455666.67-75681.27-7798</f>
        <v>372187.39999999997</v>
      </c>
      <c r="F215" s="20">
        <f>326254.07+37234.1</f>
        <v>363488.17</v>
      </c>
      <c r="G215" s="20">
        <f>363088.17-8383.61</f>
        <v>354704.56</v>
      </c>
      <c r="H215" s="20">
        <f>343771.22+3283.02</f>
        <v>347054.24</v>
      </c>
      <c r="I215" s="20">
        <f>347720.91-4421.22</f>
        <v>343299.69</v>
      </c>
      <c r="K215" s="22"/>
    </row>
    <row r="216" spans="1:11" x14ac:dyDescent="0.25">
      <c r="A216" s="35">
        <v>3</v>
      </c>
      <c r="B216" s="38" t="s">
        <v>36</v>
      </c>
      <c r="C216" s="32" t="s">
        <v>88</v>
      </c>
      <c r="D216" s="17" t="s">
        <v>13</v>
      </c>
      <c r="E216" s="18">
        <f>SUM(E217:E219)</f>
        <v>134528</v>
      </c>
      <c r="F216" s="18">
        <f t="shared" ref="F216:I216" si="85">SUM(F217:F219)</f>
        <v>143050</v>
      </c>
      <c r="G216" s="18">
        <f t="shared" si="85"/>
        <v>145950</v>
      </c>
      <c r="H216" s="18">
        <f t="shared" si="85"/>
        <v>0</v>
      </c>
      <c r="I216" s="18">
        <f t="shared" si="85"/>
        <v>0</v>
      </c>
    </row>
    <row r="217" spans="1:11" x14ac:dyDescent="0.25">
      <c r="A217" s="36"/>
      <c r="B217" s="39"/>
      <c r="C217" s="33"/>
      <c r="D217" s="24" t="s">
        <v>7</v>
      </c>
      <c r="E217" s="19"/>
      <c r="F217" s="19"/>
      <c r="G217" s="19"/>
      <c r="H217" s="19"/>
      <c r="I217" s="19"/>
    </row>
    <row r="218" spans="1:11" x14ac:dyDescent="0.25">
      <c r="A218" s="36"/>
      <c r="B218" s="39"/>
      <c r="C218" s="33"/>
      <c r="D218" s="24" t="s">
        <v>11</v>
      </c>
      <c r="E218" s="19"/>
      <c r="F218" s="19"/>
      <c r="G218" s="19"/>
      <c r="H218" s="19"/>
      <c r="I218" s="19"/>
    </row>
    <row r="219" spans="1:11" x14ac:dyDescent="0.25">
      <c r="A219" s="37"/>
      <c r="B219" s="40"/>
      <c r="C219" s="34"/>
      <c r="D219" s="23" t="s">
        <v>12</v>
      </c>
      <c r="E219" s="20">
        <f>156650-22122</f>
        <v>134528</v>
      </c>
      <c r="F219" s="20">
        <f>156650-13600</f>
        <v>143050</v>
      </c>
      <c r="G219" s="20">
        <f>156650-10700</f>
        <v>145950</v>
      </c>
      <c r="H219" s="20"/>
      <c r="I219" s="20"/>
    </row>
    <row r="220" spans="1:11" ht="14.4" x14ac:dyDescent="0.25">
      <c r="A220" s="52" t="s">
        <v>33</v>
      </c>
      <c r="B220" s="52" t="s">
        <v>34</v>
      </c>
      <c r="C220" s="32" t="s">
        <v>88</v>
      </c>
      <c r="D220" s="12" t="s">
        <v>10</v>
      </c>
      <c r="E220" s="13">
        <f>SUM(E221:E223)</f>
        <v>150000</v>
      </c>
      <c r="F220" s="13">
        <f t="shared" ref="F220:G220" si="86">SUM(F221:F223)</f>
        <v>0</v>
      </c>
      <c r="G220" s="13">
        <f t="shared" si="86"/>
        <v>0</v>
      </c>
      <c r="H220" s="13">
        <f t="shared" ref="H220:I220" si="87">SUM(H221:H223)</f>
        <v>0</v>
      </c>
      <c r="I220" s="13">
        <f t="shared" si="87"/>
        <v>0</v>
      </c>
    </row>
    <row r="221" spans="1:11" x14ac:dyDescent="0.25">
      <c r="A221" s="53"/>
      <c r="B221" s="53"/>
      <c r="C221" s="33"/>
      <c r="D221" s="26" t="s">
        <v>7</v>
      </c>
      <c r="E221" s="16">
        <f>E226</f>
        <v>0</v>
      </c>
      <c r="F221" s="16">
        <f t="shared" ref="F221:I221" si="88">F226</f>
        <v>0</v>
      </c>
      <c r="G221" s="16">
        <f t="shared" si="88"/>
        <v>0</v>
      </c>
      <c r="H221" s="16">
        <f t="shared" si="88"/>
        <v>0</v>
      </c>
      <c r="I221" s="16">
        <f t="shared" si="88"/>
        <v>0</v>
      </c>
    </row>
    <row r="222" spans="1:11" x14ac:dyDescent="0.25">
      <c r="A222" s="53"/>
      <c r="B222" s="53"/>
      <c r="C222" s="33"/>
      <c r="D222" s="26" t="s">
        <v>11</v>
      </c>
      <c r="E222" s="16">
        <f>E227</f>
        <v>0</v>
      </c>
      <c r="F222" s="16">
        <f t="shared" ref="F222:I222" si="89">F227</f>
        <v>0</v>
      </c>
      <c r="G222" s="16">
        <f t="shared" si="89"/>
        <v>0</v>
      </c>
      <c r="H222" s="16">
        <f t="shared" si="89"/>
        <v>0</v>
      </c>
      <c r="I222" s="16">
        <f t="shared" si="89"/>
        <v>0</v>
      </c>
    </row>
    <row r="223" spans="1:11" x14ac:dyDescent="0.25">
      <c r="A223" s="54"/>
      <c r="B223" s="54"/>
      <c r="C223" s="34"/>
      <c r="D223" s="26" t="s">
        <v>12</v>
      </c>
      <c r="E223" s="16">
        <f>E228</f>
        <v>150000</v>
      </c>
      <c r="F223" s="16">
        <f t="shared" ref="F223:I223" si="90">F228</f>
        <v>0</v>
      </c>
      <c r="G223" s="16">
        <f t="shared" si="90"/>
        <v>0</v>
      </c>
      <c r="H223" s="16">
        <f t="shared" si="90"/>
        <v>0</v>
      </c>
      <c r="I223" s="16">
        <f t="shared" si="90"/>
        <v>0</v>
      </c>
    </row>
    <row r="224" spans="1:11" ht="27.6" customHeight="1" x14ac:dyDescent="0.25">
      <c r="A224" s="42" t="s">
        <v>35</v>
      </c>
      <c r="B224" s="43"/>
      <c r="C224" s="43"/>
      <c r="D224" s="43"/>
      <c r="E224" s="43"/>
      <c r="F224" s="43"/>
      <c r="G224" s="43"/>
      <c r="H224" s="43"/>
      <c r="I224" s="44"/>
    </row>
    <row r="225" spans="1:11" x14ac:dyDescent="0.25">
      <c r="A225" s="35">
        <v>1</v>
      </c>
      <c r="B225" s="38" t="s">
        <v>37</v>
      </c>
      <c r="C225" s="32" t="s">
        <v>88</v>
      </c>
      <c r="D225" s="17" t="s">
        <v>13</v>
      </c>
      <c r="E225" s="18">
        <f>SUM(E226:E228)</f>
        <v>150000</v>
      </c>
      <c r="F225" s="18">
        <f t="shared" ref="F225:I225" si="91">SUM(F226:F228)</f>
        <v>0</v>
      </c>
      <c r="G225" s="18">
        <f t="shared" si="91"/>
        <v>0</v>
      </c>
      <c r="H225" s="18">
        <f t="shared" si="91"/>
        <v>0</v>
      </c>
      <c r="I225" s="18">
        <f t="shared" si="91"/>
        <v>0</v>
      </c>
    </row>
    <row r="226" spans="1:11" x14ac:dyDescent="0.25">
      <c r="A226" s="36"/>
      <c r="B226" s="39"/>
      <c r="C226" s="33"/>
      <c r="D226" s="24" t="s">
        <v>7</v>
      </c>
      <c r="E226" s="19"/>
      <c r="F226" s="19"/>
      <c r="G226" s="19"/>
      <c r="H226" s="19"/>
      <c r="I226" s="19"/>
    </row>
    <row r="227" spans="1:11" x14ac:dyDescent="0.25">
      <c r="A227" s="36"/>
      <c r="B227" s="39"/>
      <c r="C227" s="33"/>
      <c r="D227" s="24" t="s">
        <v>11</v>
      </c>
      <c r="E227" s="19"/>
      <c r="F227" s="19"/>
      <c r="G227" s="19"/>
      <c r="H227" s="19"/>
      <c r="I227" s="19"/>
    </row>
    <row r="228" spans="1:11" x14ac:dyDescent="0.25">
      <c r="A228" s="36"/>
      <c r="B228" s="39"/>
      <c r="C228" s="34"/>
      <c r="D228" s="23" t="s">
        <v>12</v>
      </c>
      <c r="E228" s="19">
        <v>150000</v>
      </c>
      <c r="F228" s="19"/>
      <c r="G228" s="20"/>
      <c r="H228" s="20"/>
      <c r="I228" s="20"/>
      <c r="K228" s="22"/>
    </row>
    <row r="229" spans="1:11" ht="14.4" x14ac:dyDescent="0.25">
      <c r="A229" s="52" t="s">
        <v>38</v>
      </c>
      <c r="B229" s="52" t="s">
        <v>39</v>
      </c>
      <c r="C229" s="32" t="s">
        <v>88</v>
      </c>
      <c r="D229" s="12" t="s">
        <v>10</v>
      </c>
      <c r="E229" s="13">
        <f>SUM(E230:E232)</f>
        <v>22947821</v>
      </c>
      <c r="F229" s="13">
        <f t="shared" ref="F229:I229" si="92">SUM(F230:F232)</f>
        <v>22553649.690000001</v>
      </c>
      <c r="G229" s="13">
        <f t="shared" si="92"/>
        <v>22794210.800000001</v>
      </c>
      <c r="H229" s="13">
        <f t="shared" si="92"/>
        <v>23659426.729999997</v>
      </c>
      <c r="I229" s="13">
        <f t="shared" si="92"/>
        <v>23338391.569999997</v>
      </c>
    </row>
    <row r="230" spans="1:11" x14ac:dyDescent="0.25">
      <c r="A230" s="53"/>
      <c r="B230" s="53"/>
      <c r="C230" s="33"/>
      <c r="D230" s="26" t="s">
        <v>7</v>
      </c>
      <c r="E230" s="16">
        <f>E235</f>
        <v>0</v>
      </c>
      <c r="F230" s="16">
        <f t="shared" ref="F230:G230" si="93">F235</f>
        <v>0</v>
      </c>
      <c r="G230" s="16">
        <f t="shared" si="93"/>
        <v>0</v>
      </c>
      <c r="H230" s="16">
        <f t="shared" ref="H230:I230" si="94">H235</f>
        <v>0</v>
      </c>
      <c r="I230" s="16">
        <f t="shared" si="94"/>
        <v>0</v>
      </c>
    </row>
    <row r="231" spans="1:11" x14ac:dyDescent="0.25">
      <c r="A231" s="53"/>
      <c r="B231" s="53"/>
      <c r="C231" s="33"/>
      <c r="D231" s="26" t="s">
        <v>11</v>
      </c>
      <c r="E231" s="16">
        <f>E236</f>
        <v>0</v>
      </c>
      <c r="F231" s="16">
        <f t="shared" ref="F231:G231" si="95">F236</f>
        <v>0</v>
      </c>
      <c r="G231" s="16">
        <f t="shared" si="95"/>
        <v>0</v>
      </c>
      <c r="H231" s="16">
        <f t="shared" ref="H231:I231" si="96">H236</f>
        <v>0</v>
      </c>
      <c r="I231" s="16">
        <f t="shared" si="96"/>
        <v>0</v>
      </c>
    </row>
    <row r="232" spans="1:11" x14ac:dyDescent="0.25">
      <c r="A232" s="54"/>
      <c r="B232" s="54"/>
      <c r="C232" s="34"/>
      <c r="D232" s="26" t="s">
        <v>12</v>
      </c>
      <c r="E232" s="16">
        <f>E237</f>
        <v>22947821</v>
      </c>
      <c r="F232" s="16">
        <f t="shared" ref="F232:G232" si="97">F237</f>
        <v>22553649.690000001</v>
      </c>
      <c r="G232" s="16">
        <f t="shared" si="97"/>
        <v>22794210.800000001</v>
      </c>
      <c r="H232" s="16">
        <f t="shared" ref="H232:I232" si="98">H237</f>
        <v>23659426.729999997</v>
      </c>
      <c r="I232" s="16">
        <f t="shared" si="98"/>
        <v>23338391.569999997</v>
      </c>
    </row>
    <row r="233" spans="1:11" x14ac:dyDescent="0.25">
      <c r="A233" s="63" t="s">
        <v>40</v>
      </c>
      <c r="B233" s="63"/>
      <c r="C233" s="63"/>
      <c r="D233" s="63"/>
      <c r="E233" s="63"/>
      <c r="F233" s="63"/>
      <c r="G233" s="63"/>
      <c r="H233" s="63"/>
      <c r="I233" s="63"/>
    </row>
    <row r="234" spans="1:11" x14ac:dyDescent="0.25">
      <c r="A234" s="45">
        <v>1</v>
      </c>
      <c r="B234" s="41" t="s">
        <v>41</v>
      </c>
      <c r="C234" s="32" t="s">
        <v>88</v>
      </c>
      <c r="D234" s="17" t="s">
        <v>13</v>
      </c>
      <c r="E234" s="18">
        <f>SUM(E235:E237)</f>
        <v>22947821</v>
      </c>
      <c r="F234" s="18">
        <f t="shared" ref="F234:I234" si="99">SUM(F235:F237)</f>
        <v>22553649.690000001</v>
      </c>
      <c r="G234" s="18">
        <f t="shared" si="99"/>
        <v>22794210.800000001</v>
      </c>
      <c r="H234" s="18">
        <f t="shared" si="99"/>
        <v>23659426.729999997</v>
      </c>
      <c r="I234" s="18">
        <f t="shared" si="99"/>
        <v>23338391.569999997</v>
      </c>
    </row>
    <row r="235" spans="1:11" x14ac:dyDescent="0.25">
      <c r="A235" s="45"/>
      <c r="B235" s="41"/>
      <c r="C235" s="33"/>
      <c r="D235" s="24" t="s">
        <v>7</v>
      </c>
      <c r="E235" s="19"/>
      <c r="F235" s="19"/>
      <c r="G235" s="19"/>
      <c r="H235" s="19"/>
      <c r="I235" s="19"/>
    </row>
    <row r="236" spans="1:11" x14ac:dyDescent="0.25">
      <c r="A236" s="45"/>
      <c r="B236" s="41"/>
      <c r="C236" s="33"/>
      <c r="D236" s="24" t="s">
        <v>11</v>
      </c>
      <c r="E236" s="19"/>
      <c r="F236" s="19"/>
      <c r="G236" s="19"/>
      <c r="H236" s="19"/>
      <c r="I236" s="19"/>
    </row>
    <row r="237" spans="1:11" x14ac:dyDescent="0.25">
      <c r="A237" s="45"/>
      <c r="B237" s="41"/>
      <c r="C237" s="34"/>
      <c r="D237" s="24" t="s">
        <v>12</v>
      </c>
      <c r="E237" s="19">
        <f>25311329-2163508-200000</f>
        <v>22947821</v>
      </c>
      <c r="F237" s="19">
        <f>22244182+70476+12928.5+222700-46543.81+49907</f>
        <v>22553649.690000001</v>
      </c>
      <c r="G237" s="19">
        <f>22162154+76128.42+5404.72+24249.96+182795.4+343478.3</f>
        <v>22794210.800000001</v>
      </c>
      <c r="H237" s="19">
        <f>24548160.22-735279.5-222054.41+275000-100000-219072.91+77471.65+35201.68</f>
        <v>23659426.729999997</v>
      </c>
      <c r="I237" s="19">
        <f>23083191.25+194539.79+99650-364060+70723+125981.27+6053.4+209762.9-87450.04</f>
        <v>23338391.569999997</v>
      </c>
      <c r="K237" s="22"/>
    </row>
  </sheetData>
  <mergeCells count="182">
    <mergeCell ref="A161:A164"/>
    <mergeCell ref="B161:B164"/>
    <mergeCell ref="C161:C164"/>
    <mergeCell ref="A165:A168"/>
    <mergeCell ref="B165:B168"/>
    <mergeCell ref="C165:C168"/>
    <mergeCell ref="A233:I233"/>
    <mergeCell ref="B41:B44"/>
    <mergeCell ref="A36:I36"/>
    <mergeCell ref="A57:A60"/>
    <mergeCell ref="B57:B60"/>
    <mergeCell ref="C45:C48"/>
    <mergeCell ref="C49:C52"/>
    <mergeCell ref="C53:C56"/>
    <mergeCell ref="A49:A52"/>
    <mergeCell ref="B49:B52"/>
    <mergeCell ref="A53:A56"/>
    <mergeCell ref="B53:B56"/>
    <mergeCell ref="A229:A232"/>
    <mergeCell ref="B229:B232"/>
    <mergeCell ref="B199:B202"/>
    <mergeCell ref="A203:I203"/>
    <mergeCell ref="A208:A211"/>
    <mergeCell ref="B208:B211"/>
    <mergeCell ref="A220:A223"/>
    <mergeCell ref="B220:B223"/>
    <mergeCell ref="A216:A219"/>
    <mergeCell ref="A225:A228"/>
    <mergeCell ref="B225:B228"/>
    <mergeCell ref="A199:A202"/>
    <mergeCell ref="A3:I3"/>
    <mergeCell ref="E5:I5"/>
    <mergeCell ref="B11:B14"/>
    <mergeCell ref="A11:A14"/>
    <mergeCell ref="B7:B10"/>
    <mergeCell ref="A7:A10"/>
    <mergeCell ref="D5:D6"/>
    <mergeCell ref="A5:A6"/>
    <mergeCell ref="B5:B6"/>
    <mergeCell ref="A16:A19"/>
    <mergeCell ref="B16:B19"/>
    <mergeCell ref="A20:A23"/>
    <mergeCell ref="B20:B23"/>
    <mergeCell ref="B24:B27"/>
    <mergeCell ref="A24:A27"/>
    <mergeCell ref="C5:C6"/>
    <mergeCell ref="C7:C10"/>
    <mergeCell ref="C11:C14"/>
    <mergeCell ref="B61:B64"/>
    <mergeCell ref="C61:C64"/>
    <mergeCell ref="A61:A64"/>
    <mergeCell ref="C208:C211"/>
    <mergeCell ref="C212:C215"/>
    <mergeCell ref="C216:C219"/>
    <mergeCell ref="C220:C223"/>
    <mergeCell ref="A204:A207"/>
    <mergeCell ref="B204:B207"/>
    <mergeCell ref="B135:B138"/>
    <mergeCell ref="A139:A142"/>
    <mergeCell ref="B139:B142"/>
    <mergeCell ref="B78:B81"/>
    <mergeCell ref="A102:A105"/>
    <mergeCell ref="A147:I147"/>
    <mergeCell ref="A131:A134"/>
    <mergeCell ref="B131:B134"/>
    <mergeCell ref="C119:C122"/>
    <mergeCell ref="C123:C126"/>
    <mergeCell ref="C127:C130"/>
    <mergeCell ref="C131:C134"/>
    <mergeCell ref="C139:C142"/>
    <mergeCell ref="A119:A122"/>
    <mergeCell ref="B102:B105"/>
    <mergeCell ref="G2:I2"/>
    <mergeCell ref="A41:A44"/>
    <mergeCell ref="A224:I224"/>
    <mergeCell ref="C57:C60"/>
    <mergeCell ref="C199:C202"/>
    <mergeCell ref="C204:C207"/>
    <mergeCell ref="C16:C19"/>
    <mergeCell ref="C20:C23"/>
    <mergeCell ref="C24:C27"/>
    <mergeCell ref="A15:I15"/>
    <mergeCell ref="B65:B68"/>
    <mergeCell ref="C32:C35"/>
    <mergeCell ref="C41:C44"/>
    <mergeCell ref="A45:A48"/>
    <mergeCell ref="B45:B48"/>
    <mergeCell ref="B32:B35"/>
    <mergeCell ref="A32:A35"/>
    <mergeCell ref="A65:A68"/>
    <mergeCell ref="A28:A31"/>
    <mergeCell ref="B28:B31"/>
    <mergeCell ref="A143:A146"/>
    <mergeCell ref="B119:B122"/>
    <mergeCell ref="C135:C138"/>
    <mergeCell ref="A135:A138"/>
    <mergeCell ref="B123:B126"/>
    <mergeCell ref="A127:A130"/>
    <mergeCell ref="B127:B130"/>
    <mergeCell ref="B82:B85"/>
    <mergeCell ref="C82:C85"/>
    <mergeCell ref="A86:A89"/>
    <mergeCell ref="B86:B89"/>
    <mergeCell ref="C143:C146"/>
    <mergeCell ref="C152:C155"/>
    <mergeCell ref="A106:I106"/>
    <mergeCell ref="C102:C105"/>
    <mergeCell ref="C115:C118"/>
    <mergeCell ref="A123:A126"/>
    <mergeCell ref="B111:B114"/>
    <mergeCell ref="C157:C160"/>
    <mergeCell ref="C107:C110"/>
    <mergeCell ref="C111:C114"/>
    <mergeCell ref="C179:C182"/>
    <mergeCell ref="A183:A186"/>
    <mergeCell ref="B148:B151"/>
    <mergeCell ref="C148:C151"/>
    <mergeCell ref="A152:A155"/>
    <mergeCell ref="B152:B155"/>
    <mergeCell ref="A156:I156"/>
    <mergeCell ref="A157:A160"/>
    <mergeCell ref="B157:B160"/>
    <mergeCell ref="B183:B186"/>
    <mergeCell ref="C183:C186"/>
    <mergeCell ref="C170:C173"/>
    <mergeCell ref="A148:A151"/>
    <mergeCell ref="A169:I169"/>
    <mergeCell ref="A170:A173"/>
    <mergeCell ref="A107:A110"/>
    <mergeCell ref="B107:B110"/>
    <mergeCell ref="A111:A114"/>
    <mergeCell ref="A115:A118"/>
    <mergeCell ref="B115:B118"/>
    <mergeCell ref="B143:B146"/>
    <mergeCell ref="A234:A237"/>
    <mergeCell ref="B234:B237"/>
    <mergeCell ref="C229:C232"/>
    <mergeCell ref="C234:C237"/>
    <mergeCell ref="C191:C194"/>
    <mergeCell ref="A195:A198"/>
    <mergeCell ref="B195:B198"/>
    <mergeCell ref="B170:B173"/>
    <mergeCell ref="A174:I174"/>
    <mergeCell ref="A175:A178"/>
    <mergeCell ref="B175:B178"/>
    <mergeCell ref="C175:C178"/>
    <mergeCell ref="C225:C228"/>
    <mergeCell ref="B191:B194"/>
    <mergeCell ref="A191:A194"/>
    <mergeCell ref="C195:C198"/>
    <mergeCell ref="A187:A190"/>
    <mergeCell ref="B187:B190"/>
    <mergeCell ref="C187:C190"/>
    <mergeCell ref="A179:A182"/>
    <mergeCell ref="B179:B182"/>
    <mergeCell ref="B216:B219"/>
    <mergeCell ref="A212:A215"/>
    <mergeCell ref="B212:B215"/>
    <mergeCell ref="C28:C31"/>
    <mergeCell ref="A90:A93"/>
    <mergeCell ref="B90:B93"/>
    <mergeCell ref="C90:C93"/>
    <mergeCell ref="A94:A97"/>
    <mergeCell ref="B94:B97"/>
    <mergeCell ref="C94:C97"/>
    <mergeCell ref="A98:A101"/>
    <mergeCell ref="B98:B101"/>
    <mergeCell ref="A69:I69"/>
    <mergeCell ref="C65:C68"/>
    <mergeCell ref="B70:B73"/>
    <mergeCell ref="A74:A77"/>
    <mergeCell ref="B74:B77"/>
    <mergeCell ref="A70:A73"/>
    <mergeCell ref="C70:C73"/>
    <mergeCell ref="C74:C77"/>
    <mergeCell ref="C78:C81"/>
    <mergeCell ref="C86:C89"/>
    <mergeCell ref="C98:C101"/>
    <mergeCell ref="A37:A40"/>
    <mergeCell ref="B37:B40"/>
    <mergeCell ref="C37:C40"/>
    <mergeCell ref="A78:A85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2025-12-29T08:00:46Z</dcterms:modified>
</cp:coreProperties>
</file>